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HvBtCkhDS2iYjg2UHuhhUj4clAoZ3mHmfWHWz0oru0odA6UuJtyQGmyHnnymcD1NvkcLsNhvI8+mpR4lyg4BUQ==" workbookSaltValue="Zbk6YzbxTVVvaNrup4dIQ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M23"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AK32" i="20"/>
  <c r="U12" i="11"/>
  <c r="AU32" i="20"/>
  <c r="G14" i="14"/>
  <c r="W32" i="20"/>
  <c r="AJ32" i="20"/>
  <c r="G30" i="14"/>
  <c r="G23" i="14"/>
  <c r="U18" i="11"/>
  <c r="AX32" i="20"/>
  <c r="Y32" i="20"/>
  <c r="L32" i="20"/>
  <c r="AG32" i="20"/>
  <c r="H32" i="20"/>
  <c r="T32" i="21"/>
  <c r="F32" i="20"/>
  <c r="AF32" i="20"/>
  <c r="G26" i="14"/>
  <c r="S32" i="20"/>
  <c r="K32" i="20"/>
  <c r="AQ32" i="21"/>
  <c r="O17" i="11"/>
  <c r="Q32" i="20"/>
  <c r="AE32" i="20"/>
  <c r="AZ32" i="20"/>
  <c r="O18" i="11"/>
  <c r="R32" i="20"/>
  <c r="BF16" i="8" l="1"/>
  <c r="F16" i="11"/>
  <c r="AQ16" i="11" s="1"/>
  <c r="T31" i="8"/>
  <c r="F28" i="2"/>
  <c r="R13" i="17"/>
  <c r="P13" i="14"/>
  <c r="BG17" i="13"/>
  <c r="S18" i="14"/>
  <c r="V18" i="14" s="1"/>
  <c r="R22" i="14"/>
  <c r="T22" i="11"/>
  <c r="R8" i="9"/>
  <c r="S13" i="14" s="1"/>
  <c r="V13"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Q32" i="20"/>
  <c r="AA32" i="20"/>
  <c r="AN32" i="20"/>
  <c r="AD32" i="20"/>
  <c r="AC32" i="20"/>
  <c r="AV32" i="20"/>
  <c r="O10" i="11"/>
  <c r="AP32" i="20"/>
  <c r="U17" i="11"/>
  <c r="W32" i="21"/>
  <c r="K16" i="12" l="1"/>
  <c r="I16" i="12"/>
  <c r="I9" i="12"/>
  <c r="K9" i="12"/>
  <c r="T12" i="11"/>
  <c r="R11" i="14"/>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AP17" i="20"/>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I21" i="11"/>
  <c r="L10" i="2"/>
  <c r="L28" i="2"/>
  <c r="X21" i="20"/>
  <c r="L16" i="2"/>
  <c r="L17" i="2"/>
  <c r="L18" i="2"/>
  <c r="X16" i="16"/>
  <c r="X23" i="16" s="1"/>
  <c r="L9" i="2"/>
  <c r="BL19" i="11"/>
  <c r="BJ18" i="11"/>
  <c r="BM17" i="11"/>
  <c r="BF21" i="11"/>
  <c r="BF17" i="11"/>
  <c r="BL12" i="11"/>
  <c r="BK21" i="11"/>
  <c r="BI25" i="11"/>
  <c r="V13" i="11"/>
  <c r="BI19" i="11"/>
  <c r="AP22" i="20"/>
  <c r="BG16" i="11"/>
  <c r="BH13" i="11"/>
  <c r="BL13" i="11"/>
  <c r="P13" i="11" s="1"/>
  <c r="BH18" i="11"/>
  <c r="BM16" i="11"/>
  <c r="AO28" i="17"/>
  <c r="BJ25" i="11"/>
  <c r="AZ16" i="11"/>
  <c r="AZ23"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V10" i="16"/>
  <c r="V9" i="16"/>
  <c r="X13" i="16"/>
  <c r="AA11" i="16"/>
  <c r="V25" i="16"/>
  <c r="T19" i="11"/>
  <c r="R28" i="14"/>
  <c r="R18" i="14"/>
  <c r="S28" i="14"/>
  <c r="V28" i="14" s="1"/>
  <c r="S21" i="14"/>
  <c r="V21" i="14" s="1"/>
  <c r="S10" i="14"/>
  <c r="V10"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AQ17" i="11" l="1"/>
  <c r="P12" i="11"/>
  <c r="AZ26" i="1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<sst xmlns="http://schemas.openxmlformats.org/spreadsheetml/2006/main" count="2682" uniqueCount="1192">
  <si>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</si>
  <si>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</si>
  <si>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</si>
  <si>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</si>
  <si>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</si>
  <si>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</si>
  <si>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</si>
  <si>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</si>
  <si>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</si>
  <si>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</si>
  <si>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</si>
  <si>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</si>
  <si>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</si>
  <si>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</si>
  <si>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</si>
  <si>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</si>
  <si>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</si>
  <si>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</si>
  <si>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</si>
  <si>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</si>
  <si>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</si>
  <si>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</si>
  <si>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</si>
  <si>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</si>
  <si>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</si>
  <si>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</si>
  <si>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</si>
  <si>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</si>
  <si>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</si>
  <si>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</si>
  <si>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</si>
  <si>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</si>
  <si>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</si>
  <si>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</si>
  <si>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</si>
  <si>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</si>
  <si>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</si>
  <si>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</si>
  <si>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</si>
  <si>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</si>
  <si>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</si>
  <si>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</si>
  <si>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</si>
  <si>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</si>
  <si>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</si>
  <si>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</si>
  <si>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</si>
  <si>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</si>
  <si>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</si>
  <si>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</si>
  <si>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</si>
  <si>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</si>
  <si>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</si>
  <si>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</si>
  <si>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</si>
  <si>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</si>
  <si>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</si>
  <si>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</si>
  <si>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</si>
  <si>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</si>
  <si>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</si>
  <si>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</si>
  <si>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</si>
  <si>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</si>
  <si>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</si>
  <si>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</si>
  <si>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</si>
  <si>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</si>
  <si>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</si>
  <si>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</si>
  <si>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</si>
  <si>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</si>
  <si>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</si>
  <si>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</si>
  <si>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</si>
  <si>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</si>
  <si>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</si>
  <si>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</si>
  <si>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</si>
  <si>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</si>
  <si>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</si>
  <si>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</si>
  <si>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</si>
  <si>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</si>
  <si>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</si>
  <si>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</si>
  <si>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</si>
  <si>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</si>
  <si>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</si>
  <si>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</si>
  <si>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</si>
  <si>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</si>
  <si>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</si>
  <si>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</si>
  <si>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</si>
  <si>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</si>
  <si>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</si>
  <si>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</si>
  <si>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</si>
  <si>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</si>
  <si>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</si>
  <si>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</si>
  <si>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</si>
  <si>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</si>
  <si>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</si>
  <si>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</si>
  <si>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</si>
  <si>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</si>
  <si>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</si>
  <si>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</si>
  <si>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</si>
  <si>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</si>
  <si>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</si>
  <si>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</si>
  <si>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</si>
  <si>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</si>
  <si>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</si>
  <si>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</si>
  <si>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</si>
  <si>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</si>
  <si>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</si>
  <si>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</si>
  <si>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</si>
  <si>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</si>
  <si>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</si>
  <si>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</si>
  <si>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</si>
  <si>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</si>
  <si>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</si>
  <si>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</si>
  <si>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</si>
  <si>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</si>
  <si>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</si>
  <si>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</si>
  <si>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</si>
  <si>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</si>
  <si>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</si>
  <si>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</si>
  <si>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</si>
  <si>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</si>
  <si>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</si>
  <si>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</si>
  <si>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</si>
  <si>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</si>
  <si>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</si>
  <si>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</si>
  <si>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</si>
  <si>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</si>
  <si>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</si>
  <si>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</si>
  <si>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</si>
  <si>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</si>
  <si>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</si>
  <si>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</si>
  <si>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</si>
  <si>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</si>
  <si>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</si>
  <si>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</si>
  <si>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</si>
  <si>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</si>
  <si>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</si>
  <si>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</si>
  <si>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</si>
  <si>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</si>
  <si>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</si>
  <si>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</si>
  <si>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</si>
  <si>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</si>
  <si>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</si>
  <si>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</si>
  <si>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</si>
  <si>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</si>
  <si>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</si>
  <si>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</si>
  <si>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</si>
  <si>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</si>
  <si>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</si>
  <si>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</si>
  <si>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</si>
  <si>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</si>
  <si>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</si>
  <si>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</si>
  <si>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</si>
  <si>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</si>
  <si>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</si>
  <si>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</si>
  <si>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</si>
  <si>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</si>
  <si>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</si>
  <si>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</si>
  <si>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</si>
  <si>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</si>
  <si>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</si>
  <si>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</si>
  <si>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</si>
  <si>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</si>
  <si>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</si>
  <si>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</si>
  <si>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</si>
  <si>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</si>
  <si>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</si>
  <si>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</si>
  <si>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</si>
  <si>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</si>
  <si>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</si>
  <si>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</si>
  <si>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</si>
  <si>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</si>
  <si>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</si>
  <si>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</si>
  <si>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</si>
  <si>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</si>
  <si>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</si>
  <si>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</si>
  <si>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</si>
  <si>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</si>
  <si>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</si>
  <si>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</si>
  <si>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</si>
  <si>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</si>
  <si>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</si>
  <si>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</si>
  <si>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</si>
  <si>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</si>
  <si>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</si>
  <si>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</si>
  <si>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</si>
  <si>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</si>
  <si>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</si>
  <si>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</si>
  <si>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</si>
  <si>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</si>
  <si>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</si>
  <si>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</si>
  <si>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</si>
  <si>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</si>
  <si>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</si>
  <si>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</si>
  <si>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</si>
  <si>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</si>
  <si>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</si>
  <si>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</si>
  <si>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</si>
  <si>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</si>
  <si>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</si>
  <si>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</si>
  <si>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</si>
  <si>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</si>
  <si>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</si>
  <si>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</si>
  <si>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</si>
  <si>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</si>
  <si>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</si>
  <si>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</si>
  <si>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</si>
  <si>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</si>
  <si>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</si>
  <si>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</si>
  <si>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</si>
  <si>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</si>
  <si>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</si>
  <si>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</si>
  <si>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</si>
  <si>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</si>
  <si>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</si>
  <si>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</si>
  <si>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</si>
  <si>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</si>
  <si>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</si>
  <si>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</si>
  <si>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</si>
  <si>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</si>
  <si>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</si>
  <si>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</si>
  <si>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</si>
  <si>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</si>
  <si>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</si>
  <si>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</si>
  <si>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</si>
  <si>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</si>
  <si>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</si>
  <si>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</si>
  <si>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</si>
  <si>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</si>
  <si>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</si>
  <si>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</si>
  <si>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</si>
  <si>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</si>
  <si>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</si>
  <si>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</si>
  <si>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</si>
  <si>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</si>
  <si>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</si>
  <si>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</si>
  <si>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</si>
  <si>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</si>
  <si>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</si>
  <si>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</si>
  <si>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</si>
  <si>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</si>
  <si>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</si>
  <si>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</si>
  <si>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</si>
  <si>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</si>
  <si>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</si>
  <si>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</si>
  <si>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</si>
  <si>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</si>
  <si>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</si>
  <si>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</si>
  <si>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</si>
  <si>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</si>
  <si>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</si>
  <si>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</si>
  <si>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</si>
  <si>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</si>
  <si>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</si>
  <si>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</si>
  <si>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</si>
  <si>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</si>
  <si>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</si>
  <si>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</si>
  <si>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</si>
  <si>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</si>
  <si>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</si>
  <si>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</si>
  <si>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</si>
  <si>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</si>
  <si>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</si>
  <si>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</si>
  <si>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</si>
  <si>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</si>
  <si>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</si>
  <si>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</si>
  <si>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</si>
  <si>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</si>
  <si>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</si>
  <si>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</si>
  <si>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</si>
  <si>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</si>
  <si>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</si>
  <si>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</si>
  <si>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</si>
  <si>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</si>
  <si>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</si>
  <si>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</si>
  <si>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</si>
  <si>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</si>
  <si>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</si>
  <si>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</si>
  <si>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</si>
  <si>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</si>
  <si>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</si>
  <si>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</si>
  <si>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</si>
  <si>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</si>
  <si>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</si>
  <si>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</si>
  <si>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</si>
  <si>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</si>
  <si>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</si>
  <si>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</si>
  <si>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</si>
  <si>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</si>
  <si>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</si>
  <si>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</si>
  <si>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</si>
  <si>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</si>
  <si>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</si>
  <si>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</si>
  <si>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</si>
  <si>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</si>
  <si>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</si>
  <si>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</si>
  <si>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</si>
  <si>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</si>
  <si>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</si>
  <si>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</si>
  <si>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</si>
  <si>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</si>
  <si>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</si>
  <si>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</si>
  <si>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</si>
  <si>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</si>
  <si>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</si>
  <si>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</si>
  <si>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</si>
  <si>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</si>
  <si>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</si>
  <si>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</si>
  <si>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</si>
  <si>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</si>
  <si>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</si>
  <si>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</si>
  <si>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</si>
  <si>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</si>
  <si>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</si>
  <si>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</si>
  <si>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</si>
  <si>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</si>
  <si>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</si>
  <si>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</si>
  <si>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</si>
  <si>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</si>
  <si>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</si>
  <si>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</si>
  <si>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</si>
  <si>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</si>
  <si>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</si>
  <si>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</si>
  <si>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</si>
  <si>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</si>
  <si>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</si>
  <si>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</si>
  <si>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</si>
  <si>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</si>
  <si>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</si>
  <si>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</si>
  <si>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</si>
  <si>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</si>
  <si>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</si>
  <si>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</si>
  <si>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</si>
  <si>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</si>
  <si>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</si>
  <si>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</si>
  <si>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</si>
  <si>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</si>
  <si>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</si>
  <si>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</si>
  <si>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</si>
  <si>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</si>
  <si>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</si>
  <si>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</si>
  <si>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</si>
  <si>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</si>
  <si>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</si>
  <si>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</si>
  <si>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</si>
  <si>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</si>
  <si>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</si>
  <si>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</si>
  <si>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</si>
  <si>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</si>
  <si>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</si>
  <si>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</si>
  <si>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</si>
  <si>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</si>
  <si>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</si>
  <si>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</si>
  <si>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</si>
  <si>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</si>
  <si>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</si>
  <si>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</si>
  <si>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</si>
  <si>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</si>
  <si>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</si>
  <si>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</si>
  <si>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</si>
  <si>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</si>
  <si>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</si>
  <si>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</si>
  <si>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</si>
  <si>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</si>
  <si>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</si>
  <si>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</si>
  <si>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</si>
  <si>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</si>
  <si>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</si>
  <si>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</si>
  <si>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</si>
  <si>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</si>
  <si>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</si>
  <si>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</si>
  <si>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</si>
  <si>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</si>
  <si>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</si>
  <si>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</si>
  <si>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</si>
  <si>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</si>
  <si>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</si>
  <si>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</si>
  <si>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</si>
  <si>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</si>
  <si>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</si>
  <si>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</si>
  <si>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</si>
  <si>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</si>
  <si>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</si>
  <si>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</si>
  <si>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</si>
  <si>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</si>
  <si>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</si>
  <si>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</si>
  <si>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</si>
  <si>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</si>
  <si>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</si>
  <si>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</si>
  <si>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</si>
  <si>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</si>
  <si>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</si>
  <si>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</si>
  <si>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</si>
  <si>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</si>
  <si>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</si>
  <si>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</si>
  <si>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</si>
  <si>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</si>
  <si>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</si>
  <si>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</si>
  <si>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</si>
  <si>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</si>
  <si>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</si>
  <si>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</si>
  <si>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</si>
  <si>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</si>
  <si>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</si>
  <si>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</si>
  <si>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</si>
  <si>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</si>
  <si>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</si>
  <si>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</si>
  <si>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</si>
  <si>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</si>
  <si>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</si>
  <si>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</si>
  <si>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</si>
  <si>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</si>
  <si>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</si>
  <si>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</si>
  <si>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</si>
  <si>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</si>
  <si>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</si>
  <si>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</si>
  <si>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</si>
  <si>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</si>
  <si>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</si>
  <si>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</si>
  <si>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</si>
  <si>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</si>
  <si>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</si>
  <si>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</si>
  <si>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</si>
  <si>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</si>
  <si>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</si>
  <si>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</si>
  <si>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</si>
  <si>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</si>
  <si>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</si>
  <si>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</si>
  <si>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</si>
  <si>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</si>
  <si>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</si>
  <si>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</si>
  <si>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</si>
  <si>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</si>
  <si>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</si>
  <si>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</si>
  <si>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</si>
  <si>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</si>
  <si>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</si>
  <si>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</si>
  <si>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</si>
  <si>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</si>
  <si>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</si>
  <si>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</si>
  <si>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</si>
  <si>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</si>
  <si>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</si>
  <si>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</si>
  <si>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</si>
  <si>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</si>
  <si>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</si>
  <si>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</si>
  <si>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</si>
  <si>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</si>
  <si>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</si>
  <si>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</si>
  <si>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</si>
  <si>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</si>
  <si>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</si>
  <si>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</si>
  <si>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</si>
  <si>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</si>
  <si>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</si>
  <si>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</si>
  <si>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</si>
  <si>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</si>
  <si>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</si>
  <si>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</si>
  <si>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</si>
  <si>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</si>
  <si>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</si>
  <si>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</si>
  <si>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</si>
  <si>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</si>
  <si>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</si>
  <si>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</si>
  <si>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</si>
  <si>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</si>
  <si>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</si>
  <si>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</si>
  <si>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</si>
  <si>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</si>
  <si>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</si>
  <si>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</si>
  <si>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</si>
  <si>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</si>
  <si>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</si>
  <si>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</si>
  <si>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</si>
  <si>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</si>
  <si>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</si>
  <si>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</si>
  <si>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</si>
  <si>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</si>
  <si>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</si>
  <si>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</si>
  <si>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</si>
  <si>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</si>
  <si>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</si>
  <si>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</si>
  <si>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</si>
  <si>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</si>
  <si>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</si>
  <si>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</si>
  <si>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</si>
  <si>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</si>
  <si>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</si>
  <si>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</si>
  <si>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</si>
  <si>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</si>
  <si>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</si>
  <si>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</si>
  <si>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</si>
  <si>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</si>
  <si>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</si>
  <si>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</si>
  <si>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</si>
  <si>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</si>
  <si>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</si>
  <si>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</si>
  <si>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</si>
  <si>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</si>
  <si>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</si>
  <si>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</si>
  <si>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</si>
  <si>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</si>
  <si>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</si>
  <si>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</si>
  <si>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</si>
  <si>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</si>
  <si>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</si>
  <si>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</si>
  <si>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</si>
  <si>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</si>
  <si>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</si>
  <si>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</si>
  <si>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</si>
  <si>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</si>
  <si>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</si>
  <si>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</si>
  <si>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</si>
  <si>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</si>
  <si>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</si>
  <si>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</si>
  <si>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</si>
  <si>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</si>
  <si>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</si>
  <si>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</si>
  <si>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</si>
  <si>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</si>
  <si>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</si>
  <si>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</si>
  <si>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</si>
  <si>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</si>
  <si>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</si>
  <si>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</si>
  <si>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</si>
  <si>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</si>
  <si>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</si>
  <si>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</si>
  <si>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</si>
  <si>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</si>
  <si>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</si>
  <si>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</si>
  <si>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</si>
  <si>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</si>
  <si>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</si>
  <si>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</si>
  <si>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</si>
  <si>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</si>
  <si>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</si>
  <si>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</si>
  <si>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</si>
  <si>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</si>
  <si>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</si>
  <si>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</si>
  <si>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</si>
  <si>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</si>
  <si>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</si>
  <si>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</si>
  <si>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</si>
  <si>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</si>
  <si>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</si>
  <si>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</si>
  <si>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</si>
  <si>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</si>
  <si>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</si>
  <si>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</si>
  <si>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</si>
  <si>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</si>
  <si>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</si>
  <si>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</si>
  <si>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</si>
  <si>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</si>
  <si>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</si>
  <si>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</si>
  <si>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</si>
  <si>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</si>
  <si>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</si>
  <si>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</si>
  <si>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</si>
  <si>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</si>
  <si>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</si>
  <si>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</si>
  <si>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</si>
  <si>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</si>
  <si>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</si>
  <si>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</si>
  <si>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</si>
  <si>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</si>
  <si>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</si>
  <si>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</si>
  <si>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</si>
  <si>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</si>
  <si>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</si>
  <si>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</si>
  <si>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</si>
  <si>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</si>
  <si>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</si>
  <si>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</si>
  <si>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</si>
  <si>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</si>
  <si>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</si>
  <si>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</si>
  <si>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</si>
  <si>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</si>
  <si>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</si>
  <si>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</si>
  <si>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</si>
  <si>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</si>
  <si>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</si>
  <si>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</si>
  <si>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</si>
  <si>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</si>
  <si>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</si>
  <si>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</si>
  <si>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</si>
  <si>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</si>
  <si>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</si>
  <si>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</si>
  <si>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</si>
  <si>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</si>
  <si>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</si>
  <si>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</si>
  <si>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</si>
  <si>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</si>
  <si>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</si>
  <si>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</si>
  <si>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</si>
  <si>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</si>
  <si>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</si>
  <si>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</si>
  <si>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</si>
  <si>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</si>
  <si>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</si>
  <si>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</si>
  <si>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</si>
  <si>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</si>
  <si>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</si>
  <si>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</si>
  <si>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</si>
  <si>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</si>
  <si>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</si>
  <si>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</si>
  <si>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</si>
  <si>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</si>
  <si>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</si>
  <si>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</si>
  <si>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</si>
  <si>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</si>
  <si>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</si>
  <si>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</si>
  <si>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</si>
  <si>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</si>
  <si>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</si>
  <si>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</si>
  <si>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</si>
  <si>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</si>
  <si>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</si>
  <si>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</si>
  <si>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</si>
  <si>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</si>
  <si>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</si>
  <si>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</si>
  <si>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</si>
  <si>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</si>
  <si>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</si>
  <si>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</si>
  <si>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</si>
  <si>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</si>
  <si>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</si>
  <si>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</si>
  <si>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</si>
  <si>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</si>
  <si>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</si>
  <si>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</si>
  <si>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</si>
  <si>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</si>
  <si>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</si>
  <si>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</si>
  <si>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</si>
  <si>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</si>
  <si>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</si>
  <si>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</si>
  <si>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</si>
  <si>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</si>
  <si>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</si>
  <si>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</si>
  <si>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</si>
  <si>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</si>
  <si>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</si>
  <si>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</si>
  <si>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</si>
  <si>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</si>
  <si>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</si>
  <si>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</si>
  <si>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</si>
  <si>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</si>
  <si>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</si>
  <si>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</si>
  <si>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</si>
  <si>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</si>
  <si>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</si>
  <si>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</si>
  <si>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</si>
  <si>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</si>
  <si>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</si>
  <si>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</si>
  <si>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</si>
  <si>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</si>
  <si>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</si>
  <si>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</si>
  <si>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</si>
  <si>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</si>
  <si>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</si>
  <si>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</si>
  <si>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</si>
  <si>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</si>
  <si>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</si>
  <si>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</si>
  <si>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</si>
  <si>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</si>
  <si>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</si>
  <si>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</si>
  <si>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</si>
  <si>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</si>
  <si>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</si>
  <si>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</si>
  <si>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</si>
  <si>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</si>
  <si>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</si>
  <si>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</si>
  <si>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</si>
  <si>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</si>
  <si>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</si>
  <si>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</si>
  <si>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</si>
  <si>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</si>
  <si>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</si>
  <si>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</si>
  <si>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</si>
  <si>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</si>
  <si>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</si>
  <si>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</si>
  <si>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</si>
  <si>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</si>
  <si>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</si>
  <si>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</si>
  <si>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</si>
  <si>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</si>
  <si>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</si>
  <si>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</si>
  <si>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</si>
  <si>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</si>
  <si>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</si>
  <si>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</si>
  <si>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</si>
  <si>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</si>
  <si>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</si>
  <si>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</si>
  <si>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</si>
  <si>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</si>
  <si>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</si>
  <si>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</si>
  <si>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</si>
  <si>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</si>
  <si>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</si>
  <si>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</si>
  <si>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</si>
  <si>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</si>
  <si>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</si>
  <si>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</si>
  <si>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</si>
  <si>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</si>
  <si>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</si>
  <si>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</si>
  <si>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</si>
  <si>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</si>
  <si>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</si>
  <si>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</si>
  <si>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</si>
  <si>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</si>
  <si>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</si>
  <si>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</si>
  <si>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</si>
  <si>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</si>
  <si>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</si>
  <si>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</si>
  <si>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</si>
  <si>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</si>
  <si>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</si>
  <si>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</si>
  <si>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</si>
  <si>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</si>
  <si>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</si>
  <si>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</si>
  <si>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</si>
  <si>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</si>
  <si>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</si>
  <si>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</si>
  <si>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</si>
  <si>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</si>
  <si>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</si>
  <si>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</si>
  <si>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</si>
  <si>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</si>
  <si>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</si>
  <si>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</si>
  <si>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</si>
  <si>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</si>
  <si>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</si>
  <si>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</si>
  <si>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</si>
  <si>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</si>
  <si>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</si>
  <si>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</si>
  <si>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</si>
  <si>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</si>
  <si>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</si>
  <si>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</si>
  <si>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</si>
  <si>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</si>
  <si>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</si>
  <si>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</si>
  <si>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</si>
  <si>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</si>
  <si>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</si>
  <si>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</si>
  <si>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</si>
  <si>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</si>
  <si>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</si>
  <si>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</si>
  <si>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</si>
  <si>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</si>
  <si>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</si>
  <si>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</si>
  <si>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</si>
  <si>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</si>
  <si>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</si>
  <si>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</si>
  <si>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</si>
  <si>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</si>
  <si>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</si>
  <si>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</si>
  <si>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</si>
  <si>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</si>
  <si>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</si>
  <si>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</si>
  <si>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</si>
  <si>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</si>
  <si>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</si>
  <si>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</si>
  <si>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</si>
  <si>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</si>
  <si>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</si>
  <si>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</si>
  <si>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</si>
  <si>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</si>
  <si>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</si>
  <si>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</si>
  <si>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</si>
  <si>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</si>
  <si>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</si>
  <si>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</si>
  <si>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</si>
  <si>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</si>
  <si>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</si>
  <si>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</si>
  <si>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</si>
  <si>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</si>
  <si>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</si>
  <si>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</si>
  <si>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</si>
  <si>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</si>
  <si>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</si>
  <si>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</si>
  <si>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</si>
  <si>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</si>
  <si>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</si>
  <si>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</si>
  <si>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</si>
  <si>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</si>
  <si>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</si>
  <si>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</si>
  <si>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</si>
  <si>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</si>
  <si>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</si>
  <si>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</si>
  <si>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</si>
  <si>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</si>
  <si>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</si>
  <si>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</si>
  <si>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</si>
  <si>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</si>
  <si>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</si>
  <si>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</si>
  <si>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</si>
  <si>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</si>
  <si>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</si>
  <si>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</si>
  <si>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</si>
  <si>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</si>
  <si>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</si>
  <si>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</si>
  <si>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</si>
  <si>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</si>
  <si>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</si>
  <si>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</si>
  <si>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</si>
  <si>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</si>
  <si>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</si>
  <si>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</si>
  <si>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</si>
  <si>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</si>
  <si>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</si>
  <si>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</si>
  <si>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</si>
  <si>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</si>
  <si>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</si>
  <si>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</si>
  <si>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</si>
  <si>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</si>
  <si>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</si>
  <si>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</si>
  <si>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</si>
  <si>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</si>
  <si>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</si>
  <si>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</si>
  <si>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</si>
  <si>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</si>
  <si>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</si>
  <si>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</si>
  <si>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</si>
  <si>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</si>
  <si>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</si>
  <si>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</si>
  <si>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</si>
  <si>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</si>
  <si>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</si>
  <si>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</si>
  <si>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</si>
  <si>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</si>
  <si>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</si>
  <si>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</si>
  <si>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</si>
  <si>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</si>
  <si>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</si>
  <si>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</si>
  <si>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</si>
  <si>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</si>
  <si>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</si>
  <si>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</si>
  <si>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</si>
  <si>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</si>
  <si>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</si>
  <si>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</si>
  <si>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</si>
  <si>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</si>
  <si>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</si>
  <si>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</si>
  <si>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</si>
  <si>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</si>
  <si>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</si>
  <si>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</si>
  <si>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</si>
  <si>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</si>
  <si>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</si>
  <si>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</si>
  <si>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</si>
  <si>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</si>
  <si>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</si>
  <si>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</si>
  <si>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</si>
  <si>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</si>
  <si>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</si>
  <si>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</si>
  <si>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</si>
  <si>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</si>
  <si>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</si>
  <si>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</si>
  <si>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</si>
  <si>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</si>
  <si>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</si>
  <si>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</si>
  <si>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</si>
  <si>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</si>
  <si>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</si>
  <si>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</si>
  <si>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</si>
  <si>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</si>
  <si>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</si>
  <si>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</si>
  <si>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</si>
  <si>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</si>
  <si>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</si>
  <si>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</si>
  <si>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</si>
  <si>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</si>
  <si>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</si>
  <si>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</si>
  <si>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</si>
  <si>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</si>
  <si>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</si>
  <si>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</si>
  <si>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</si>
  <si>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</si>
  <si>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</si>
  <si>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</si>
  <si>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</si>
  <si>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</si>
  <si>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</si>
  <si>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</si>
  <si>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</si>
  <si>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</si>
  <si>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</si>
  <si>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</si>
  <si>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</si>
  <si>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</si>
  <si>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</si>
  <si>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</si>
  <si>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</si>
  <si>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</si>
  <si>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</si>
  <si>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</si>
  <si>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</si>
  <si>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</si>
  <si>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</si>
  <si>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</si>
  <si>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</si>
  <si>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</si>
  <si>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</si>
  <si>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</si>
  <si>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</si>
  <si>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</si>
  <si>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</si>
  <si>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</si>
  <si>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</si>
  <si>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</si>
  <si>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</si>
  <si>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</si>
  <si>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</si>
  <si>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</si>
  <si>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</si>
  <si>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</si>
  <si>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</si>
  <si>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</si>
  <si>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CASTILLA-LA MANCHA</t>
  </si>
  <si>
    <t>Provincias</t>
  </si>
  <si>
    <t>TOLEDO</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</si>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</sst>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ukdj5uKPk5D+eB/f5tdyGsq2B6h4CaTqvPpsrytXCRZliAvfyrHWhvXhoUmKMmt1KRb2D/3PE12urootttAzFQ==" saltValue="KeG0HbE71W0CWDfsQry2C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5</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43.073492981007433</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103</v>
      </c>
      <c r="D10" s="239">
        <f>IF(ISNUMBER(Datos!I10),Datos!I10," - ")</f>
        <v>103</v>
      </c>
      <c r="E10" s="240">
        <f>IF(ISNUMBER(Datos!J10),Datos!J10," - ")</f>
        <v>6</v>
      </c>
      <c r="F10" s="240">
        <f>IF(ISNUMBER(Datos!K10),Datos!K10," - ")</f>
        <v>2</v>
      </c>
      <c r="G10" s="1390" t="str">
        <f>IF(Datos!E10&lt;&gt;"",Datos!E10,Datos!D10)</f>
        <v>37</v>
      </c>
      <c r="H10" s="241">
        <f>IF(ISNUMBER(Datos!L10),Datos!L10," - ")</f>
        <v>107</v>
      </c>
      <c r="I10" s="1400" t="str">
        <f>IF(ISNUMBER(Datos!AS10/Datos!BM10),Datos!AS10/Datos!BM10," - ")</f>
        <v xml:space="preserve"> - </v>
      </c>
      <c r="J10" s="1401">
        <f>IF(ISNUMBER(Datos!BY10/Datos!CN10),Datos!BY10/Datos!CN10," - ")</f>
        <v>0</v>
      </c>
      <c r="K10" s="244">
        <f t="shared" ref="K10:K13" si="1">IF(ISNUMBER((E10-F10)/C10),(E10-F10)/C10," - ")</f>
        <v>3.8834951456310676E-2</v>
      </c>
      <c r="L10" s="1402">
        <f>IF(ISNUMBER(NºAsuntos!I10/NºAsuntos!G10),(NºAsuntos!I10/NºAsuntos!G10)*11," - ")</f>
        <v>588.5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103</v>
      </c>
      <c r="D14" s="1407">
        <f>SUBTOTAL(9,D9:D13)</f>
        <v>103</v>
      </c>
      <c r="E14" s="1408">
        <f>SUBTOTAL(9,E9:E13)</f>
        <v>6</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3</v>
      </c>
      <c r="B16" s="1461" t="str">
        <f>Datos!A16</f>
        <v xml:space="preserve">Jdos. Instrucción                               </v>
      </c>
      <c r="C16" s="239">
        <f t="shared" ref="C16:C22" si="2">IF(ISNUMBER(H16-E16+F16),H16-E16+F16," - ")</f>
        <v>1717</v>
      </c>
      <c r="D16" s="239">
        <f>IF(ISNUMBER(IF(D_I="SI",Datos!I16,Datos!I16+Datos!AC16)),IF(D_I="SI",Datos!I16,Datos!I16+Datos!AC16)," - ")</f>
        <v>1717</v>
      </c>
      <c r="E16" s="240">
        <f>IF(ISNUMBER(IF(D_I="SI",Datos!J16,Datos!J16+Datos!AD16)),IF(D_I="SI",Datos!J16,Datos!J16+Datos!AD16)," - ")</f>
        <v>1277</v>
      </c>
      <c r="F16" s="240">
        <f>IF(ISNUMBER(IF(D_I="SI",Datos!K16,Datos!K16+Datos!AE16)),IF(D_I="SI",Datos!K16,Datos!K16+Datos!AE16)," - ")</f>
        <v>1027</v>
      </c>
      <c r="G16" s="1390" t="str">
        <f>IF(Datos!E16&lt;&gt;"",Datos!E16,Datos!D16)</f>
        <v>03</v>
      </c>
      <c r="H16" s="241">
        <f>IF(ISNUMBER(IF(D_I="SI",Datos!L16,Datos!L16+Datos!AF16)),IF(D_I="SI",Datos!L16,Datos!L16+Datos!AF16)," - ")</f>
        <v>1967</v>
      </c>
      <c r="I16" s="1400" t="str">
        <f>IF(ISNUMBER(Datos!AS16/Datos!BM16),Datos!AS16/Datos!BM16," - ")</f>
        <v xml:space="preserve"> - </v>
      </c>
      <c r="J16" s="1401">
        <f>IF(ISNUMBER(Datos!BY16/Datos!CN16),Datos!BY16/Datos!CN16," - ")</f>
        <v>0</v>
      </c>
      <c r="K16" s="244">
        <f t="shared" ref="K16:K22" si="3">IF(ISNUMBER((E16-F16)/C16),(E16-F16)/C16," - ")</f>
        <v>0.145602795573675</v>
      </c>
      <c r="L16" s="1402">
        <f>IF(ISNUMBER(NºAsuntos!I16/NºAsuntos!G16),(NºAsuntos!I16/NºAsuntos!G16)*11," - ")</f>
        <v>21.068159688412852</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67</v>
      </c>
      <c r="D18" s="239">
        <f>IF(ISNUMBER(IF(D_I="SI",Datos!I18,Datos!I18+Datos!AC18)),IF(D_I="SI",Datos!I18,Datos!I18+Datos!AC18)," - ")</f>
        <v>67</v>
      </c>
      <c r="E18" s="240">
        <f>IF(ISNUMBER(IF(D_I="SI",Datos!J18,Datos!J18+Datos!AD18)),IF(D_I="SI",Datos!J18,Datos!J18+Datos!AD18)," - ")</f>
        <v>146</v>
      </c>
      <c r="F18" s="240">
        <f>IF(ISNUMBER(IF(D_I="SI",Datos!K18,Datos!K18+Datos!AE18)),IF(D_I="SI",Datos!K18,Datos!K18+Datos!AE18)," - ")</f>
        <v>112</v>
      </c>
      <c r="G18" s="1390" t="str">
        <f>IF(Datos!E18&lt;&gt;"",Datos!E18,Datos!D18)</f>
        <v>37</v>
      </c>
      <c r="H18" s="241">
        <f>IF(ISNUMBER(IF(D_I="SI",Datos!L18,Datos!L18+Datos!AF18)),IF(D_I="SI",Datos!L18,Datos!L18+Datos!AF18)," - ")</f>
        <v>101</v>
      </c>
      <c r="I18" s="1400" t="str">
        <f>IF(ISNUMBER(Datos!AS18/Datos!BM18),Datos!AS18/Datos!BM18," - ")</f>
        <v xml:space="preserve"> - </v>
      </c>
      <c r="J18" s="1401" t="str">
        <f>IF(ISNUMBER((Datos!BY18+Datos!BZ18)/Datos!CN18),(Datos!BY18+Datos!BZ18)/Datos!CN18," - ")</f>
        <v xml:space="preserve"> - </v>
      </c>
      <c r="K18" s="244">
        <f t="shared" si="3"/>
        <v>0.5074626865671642</v>
      </c>
      <c r="L18" s="1402">
        <f>IF(ISNUMBER(NºAsuntos!I18/NºAsuntos!G18),(NºAsuntos!I18/NºAsuntos!G18)*11," - ")</f>
        <v>9.9196428571428577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1784</v>
      </c>
      <c r="D23" s="1407">
        <f>SUBTOTAL(9,D16:D22)</f>
        <v>1784</v>
      </c>
      <c r="E23" s="1408">
        <f>SUBTOTAL(9,E16:E22)</f>
        <v>1423</v>
      </c>
      <c r="F23" s="1408">
        <f>SUBTOTAL(9,F16:F22)</f>
        <v>1139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1887</v>
      </c>
      <c r="D31" s="1435">
        <f>SUBTOTAL(9,D9:D30)</f>
        <v>1887</v>
      </c>
      <c r="E31" s="1436">
        <f>SUBTOTAL(9,E9:E30)</f>
        <v>1429</v>
      </c>
      <c r="F31" s="1436">
        <f>SUBTOTAL(9,F9:F30)</f>
        <v>1141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7aquPvQVqoCQyrHBwGec2zgY1Da7ObpzIz5ZK9mKrBQCSv+C/wziKXlh9F2y3NT1325X/OxQW0s/eoyssqXThQ==" saltValue="GBMxcjv+uUyzhs41X8mEm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v/FYfMgnSZ4CKFgwFhSTXB5THxn38sQ99CfBgifQG/vmhLkqEdmeXexiGWjGLKTutCUkyeIwKMjBQ4aqqh4aCw==" saltValue="Ga+xce6y8Z7FgOwc580Bj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4089</v>
      </c>
      <c r="J9" s="194">
        <v>1470</v>
      </c>
      <c r="K9" s="194">
        <v>1131</v>
      </c>
      <c r="L9" s="194">
        <v>4428</v>
      </c>
      <c r="M9" s="194">
        <v>431</v>
      </c>
      <c r="N9" s="194">
        <v>447</v>
      </c>
      <c r="O9" s="194">
        <v>449</v>
      </c>
      <c r="P9" s="194">
        <v>397</v>
      </c>
      <c r="Q9" s="194">
        <v>151</v>
      </c>
      <c r="R9" s="194">
        <v>5829</v>
      </c>
      <c r="S9" s="194">
        <v>0</v>
      </c>
      <c r="T9" s="194">
        <v>0</v>
      </c>
      <c r="U9" s="194">
        <v>0</v>
      </c>
      <c r="V9" s="194">
        <v>0</v>
      </c>
      <c r="W9" s="194">
        <v>0</v>
      </c>
      <c r="X9" s="201">
        <v>0</v>
      </c>
      <c r="Y9" s="204">
        <v>261</v>
      </c>
      <c r="Z9" s="194">
        <v>133</v>
      </c>
      <c r="AA9" s="194">
        <v>80</v>
      </c>
      <c r="AB9" s="194">
        <v>314</v>
      </c>
      <c r="AC9" s="194">
        <v>0</v>
      </c>
      <c r="AD9" s="194">
        <v>0</v>
      </c>
      <c r="AE9" s="194">
        <v>0</v>
      </c>
      <c r="AF9" s="201">
        <v>0</v>
      </c>
      <c r="AG9" s="204">
        <v>0</v>
      </c>
      <c r="AH9" s="194">
        <v>0</v>
      </c>
      <c r="AI9" s="194">
        <v>0</v>
      </c>
      <c r="AJ9" s="205">
        <v>0</v>
      </c>
      <c r="AK9" s="193">
        <v>0</v>
      </c>
      <c r="AL9" s="194">
        <v>0</v>
      </c>
      <c r="AM9" s="194">
        <v>0</v>
      </c>
      <c r="AN9" s="201">
        <v>0</v>
      </c>
      <c r="AO9" s="282">
        <v>5</v>
      </c>
      <c r="AP9" s="167">
        <v>5</v>
      </c>
      <c r="AQ9" s="167">
        <v>5</v>
      </c>
      <c r="AR9" s="206">
        <v>5</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f>IF(ISNUMBER(X9),X9," - ")</f>
        <v>0</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103</v>
      </c>
      <c r="J10" s="194">
        <v>6</v>
      </c>
      <c r="K10" s="194">
        <v>2</v>
      </c>
      <c r="L10" s="194">
        <v>107</v>
      </c>
      <c r="M10" s="194">
        <v>0</v>
      </c>
      <c r="N10" s="194">
        <v>0</v>
      </c>
      <c r="O10" s="194">
        <v>0</v>
      </c>
      <c r="P10" s="194">
        <v>1</v>
      </c>
      <c r="Q10" s="194">
        <v>0</v>
      </c>
      <c r="R10" s="194">
        <v>23</v>
      </c>
      <c r="S10" s="194">
        <v>93</v>
      </c>
      <c r="T10" s="194">
        <v>8</v>
      </c>
      <c r="U10" s="194">
        <v>9</v>
      </c>
      <c r="V10" s="194">
        <v>92</v>
      </c>
      <c r="W10" s="194">
        <v>3</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93</v>
      </c>
      <c r="AZ10" s="139">
        <f t="shared" si="0"/>
        <v>8</v>
      </c>
      <c r="BA10" s="139">
        <f t="shared" si="0"/>
        <v>9</v>
      </c>
      <c r="BB10" s="139">
        <f t="shared" si="0"/>
        <v>92</v>
      </c>
      <c r="BC10" s="135">
        <f t="shared" si="0"/>
        <v>3</v>
      </c>
      <c r="BD10" s="136">
        <f>IF(ISNUMBER(BA10/AZ10),BA10/AZ10," - ")</f>
        <v>1.125</v>
      </c>
      <c r="BE10" s="137">
        <f>IF(ISNUMBER(BB10/BA10),BB10/BA10, " - ")</f>
        <v>10.222222222222221</v>
      </c>
      <c r="BF10" s="137">
        <f>IF(ISNUMBER(BC10/BA10),BC10/BA10, " - ")</f>
        <v>0.33333333333333331</v>
      </c>
      <c r="BG10" s="209">
        <f>IF(ISNUMBER((AY10+AZ10)/BA10),(AY10+AZ10)/BA10," - ")</f>
        <v>11.222222222222221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7</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4192</v>
      </c>
      <c r="J14" s="197">
        <f t="shared" si="7"/>
        <v>1476</v>
      </c>
      <c r="K14" s="197">
        <f t="shared" si="7"/>
        <v>1133</v>
      </c>
      <c r="L14" s="197">
        <f t="shared" si="7"/>
        <v>4535</v>
      </c>
      <c r="M14" s="197">
        <f t="shared" si="7"/>
        <v>431</v>
      </c>
      <c r="N14" s="197">
        <f t="shared" si="7"/>
        <v>447</v>
      </c>
      <c r="O14" s="197">
        <f t="shared" si="7"/>
        <v>449</v>
      </c>
      <c r="P14" s="197">
        <f t="shared" si="7"/>
        <v>398</v>
      </c>
      <c r="Q14" s="197">
        <f t="shared" si="7"/>
        <v>151</v>
      </c>
      <c r="R14" s="197">
        <f t="shared" si="7"/>
        <v>5852</v>
      </c>
      <c r="S14" s="197">
        <f t="shared" si="7"/>
        <v>93</v>
      </c>
      <c r="T14" s="197">
        <f t="shared" si="7"/>
        <v>8</v>
      </c>
      <c r="U14" s="197">
        <f t="shared" si="7"/>
        <v>9</v>
      </c>
      <c r="V14" s="197">
        <f t="shared" si="7"/>
        <v>92</v>
      </c>
      <c r="W14" s="197">
        <f t="shared" si="7"/>
        <v>3</v>
      </c>
      <c r="X14" s="197">
        <f t="shared" si="7"/>
        <v>2</v>
      </c>
      <c r="Y14" s="197">
        <f t="shared" si="7"/>
        <v>261</v>
      </c>
      <c r="Z14" s="197">
        <f t="shared" si="7"/>
        <v>133</v>
      </c>
      <c r="AA14" s="197">
        <f t="shared" si="7"/>
        <v>80</v>
      </c>
      <c r="AB14" s="197">
        <f t="shared" si="7"/>
        <v>314</v>
      </c>
      <c r="AC14" s="197">
        <f t="shared" si="7"/>
        <v>0</v>
      </c>
      <c r="AD14" s="197">
        <f t="shared" si="7"/>
        <v>0</v>
      </c>
      <c r="AE14" s="197">
        <f t="shared" si="7"/>
        <v>0</v>
      </c>
      <c r="AF14" s="197">
        <f>SUBTOTAL(9,AF9:AF13)</f>
        <v>0</v>
      </c>
      <c r="AG14" s="197">
        <f t="shared" ref="AG14:AT14" si="8">SUBTOTAL(9,AG8:AG13)</f>
        <v>0</v>
      </c>
      <c r="AH14" s="197">
        <f t="shared" si="8"/>
        <v>0</v>
      </c>
      <c r="AI14" s="197">
        <f t="shared" si="8"/>
        <v>0</v>
      </c>
      <c r="AJ14" s="197">
        <f t="shared" si="8"/>
        <v>0</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93</v>
      </c>
      <c r="AZ14" s="197">
        <f>SUBTOTAL(9,AZ8:AZ13)</f>
        <v>8</v>
      </c>
      <c r="BA14" s="197">
        <f>SUBTOTAL(9,BA8:BA13)</f>
        <v>9</v>
      </c>
      <c r="BB14" s="197">
        <f>SUBTOTAL(9,BB8:BB13)</f>
        <v>92</v>
      </c>
      <c r="BC14" s="197">
        <f>SUBTOTAL(9,BC8:BC13)</f>
        <v>3</v>
      </c>
      <c r="BD14" s="219">
        <f>IF(ISNUMBER(BA14/AZ14),BA14/AZ14," - ")</f>
        <v>1.125</v>
      </c>
      <c r="BE14" s="220">
        <f>IF(ISNUMBER(BB14/BA14),BB14/BA14, " - ")</f>
        <v>10.222222222222221</v>
      </c>
      <c r="BF14" s="220">
        <f>IF(ISNUMBER(BC14/BA14),BC14/BA14, " - ")</f>
        <v>0.33333333333333331</v>
      </c>
      <c r="BG14" s="221">
        <f>IF(ISNUMBER((AY14+AZ14)/BA14),(AY14+AZ14)/BA14," - ")</f>
        <v>11.222222222222221</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1717</v>
      </c>
      <c r="J16" s="196">
        <v>1277</v>
      </c>
      <c r="K16" s="196">
        <v>1027</v>
      </c>
      <c r="L16" s="196">
        <v>1967</v>
      </c>
      <c r="M16" s="196">
        <v>176</v>
      </c>
      <c r="N16" s="196">
        <v>651</v>
      </c>
      <c r="O16" s="194">
        <v>2</v>
      </c>
      <c r="P16" s="196">
        <v>23</v>
      </c>
      <c r="Q16" s="196">
        <v>4</v>
      </c>
      <c r="R16" s="196">
        <v>107</v>
      </c>
      <c r="S16" s="196">
        <v>0</v>
      </c>
      <c r="T16" s="196">
        <v>0</v>
      </c>
      <c r="U16" s="196">
        <v>0</v>
      </c>
      <c r="V16" s="196">
        <v>0</v>
      </c>
      <c r="W16" s="196">
        <v>0</v>
      </c>
      <c r="X16" s="202">
        <v>0</v>
      </c>
      <c r="Y16" s="215">
        <v>0</v>
      </c>
      <c r="Z16" s="196">
        <v>0</v>
      </c>
      <c r="AA16" s="196">
        <v>0</v>
      </c>
      <c r="AB16" s="196">
        <v>0</v>
      </c>
      <c r="AC16" s="196">
        <v>0</v>
      </c>
      <c r="AD16" s="196">
        <v>6</v>
      </c>
      <c r="AE16" s="196">
        <v>1</v>
      </c>
      <c r="AF16" s="202">
        <v>5</v>
      </c>
      <c r="AG16" s="215">
        <v>0</v>
      </c>
      <c r="AH16" s="196">
        <v>0</v>
      </c>
      <c r="AI16" s="196">
        <v>0</v>
      </c>
      <c r="AJ16" s="216">
        <v>0</v>
      </c>
      <c r="AK16" s="195">
        <v>0</v>
      </c>
      <c r="AL16" s="196">
        <v>0</v>
      </c>
      <c r="AM16" s="196">
        <v>0</v>
      </c>
      <c r="AN16" s="202">
        <v>0</v>
      </c>
      <c r="AO16" s="283">
        <v>3</v>
      </c>
      <c r="AP16" s="168">
        <v>3</v>
      </c>
      <c r="AQ16" s="168">
        <v>3</v>
      </c>
      <c r="AR16" s="168">
        <v>3</v>
      </c>
      <c r="AS16" s="381" t="s">
        <v>702</v>
      </c>
      <c r="AT16" s="216" t="s">
        <v>424</v>
      </c>
      <c r="AU16" s="215"/>
      <c r="AV16" s="216"/>
      <c r="AW16" s="215"/>
      <c r="AX16" s="216"/>
      <c r="AY16" s="138">
        <f t="shared" ref="AY16:BB17" si="10">IF(ISNUMBER(IF(D_I="SI",S16,S16+AK16)),IF(D_I="SI",S16,S16+AK16)," - ")</f>
        <v>0</v>
      </c>
      <c r="AZ16" s="139">
        <f t="shared" si="10"/>
        <v>0</v>
      </c>
      <c r="BA16" s="139">
        <f t="shared" si="10"/>
        <v>0</v>
      </c>
      <c r="BB16" s="139">
        <f t="shared" si="10"/>
        <v>0</v>
      </c>
      <c r="BC16" s="135">
        <f>IF(ISNUMBER(W16),W16," - ")</f>
        <v>0</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7</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67</v>
      </c>
      <c r="J18" s="196">
        <v>146</v>
      </c>
      <c r="K18" s="196">
        <v>112</v>
      </c>
      <c r="L18" s="196">
        <v>101</v>
      </c>
      <c r="M18" s="196">
        <v>23</v>
      </c>
      <c r="N18" s="196">
        <v>75</v>
      </c>
      <c r="O18" s="196">
        <v>0</v>
      </c>
      <c r="P18" s="196">
        <v>2</v>
      </c>
      <c r="Q18" s="196">
        <v>0</v>
      </c>
      <c r="R18" s="196">
        <v>6</v>
      </c>
      <c r="S18" s="196">
        <v>46</v>
      </c>
      <c r="T18" s="196">
        <v>152</v>
      </c>
      <c r="U18" s="196">
        <v>147</v>
      </c>
      <c r="V18" s="196">
        <v>51</v>
      </c>
      <c r="W18" s="196">
        <v>23</v>
      </c>
      <c r="X18" s="202">
        <v>55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46</v>
      </c>
      <c r="AZ18" s="139">
        <f t="shared" si="15"/>
        <v>152</v>
      </c>
      <c r="BA18" s="139">
        <f t="shared" si="15"/>
        <v>147</v>
      </c>
      <c r="BB18" s="139">
        <f t="shared" si="15"/>
        <v>51</v>
      </c>
      <c r="BC18" s="135">
        <f>IF(ISNUMBER(W18),W18," - ")</f>
        <v>23</v>
      </c>
      <c r="BD18" s="136">
        <f>IF(ISNUMBER(BA18/AZ18),BA18/AZ18," - ")</f>
        <v>0.96710526315789469</v>
      </c>
      <c r="BE18" s="137">
        <f>IF(ISNUMBER(BB18/BA18),BB18/BA18, " - ")</f>
        <v>0.34693877551020408</v>
      </c>
      <c r="BF18" s="137">
        <f>IF(ISNUMBER(BC18/BA18),BC18/BA18, " - ")</f>
        <v>0.15646258503401361</v>
      </c>
      <c r="BG18" s="209">
        <f>IF(ISNUMBER((AY18+AZ18)/BA18),(AY18+AZ18)/BA18," - ")</f>
        <v>1.346938775510204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1784</v>
      </c>
      <c r="J23" s="197">
        <f t="shared" si="21"/>
        <v>1423</v>
      </c>
      <c r="K23" s="197">
        <f t="shared" si="21"/>
        <v>1139</v>
      </c>
      <c r="L23" s="197">
        <f t="shared" si="21"/>
        <v>2068</v>
      </c>
      <c r="M23" s="197">
        <f t="shared" si="21"/>
        <v>199</v>
      </c>
      <c r="N23" s="197">
        <f t="shared" si="21"/>
        <v>726</v>
      </c>
      <c r="O23" s="197">
        <f t="shared" si="21"/>
        <v>2</v>
      </c>
      <c r="P23" s="197">
        <f t="shared" si="21"/>
        <v>25</v>
      </c>
      <c r="Q23" s="197">
        <f t="shared" si="21"/>
        <v>4</v>
      </c>
      <c r="R23" s="197">
        <f t="shared" si="21"/>
        <v>113</v>
      </c>
      <c r="S23" s="197">
        <f t="shared" si="21"/>
        <v>46</v>
      </c>
      <c r="T23" s="197">
        <f t="shared" si="21"/>
        <v>152</v>
      </c>
      <c r="U23" s="197">
        <f t="shared" si="21"/>
        <v>147</v>
      </c>
      <c r="V23" s="197">
        <f t="shared" si="21"/>
        <v>51</v>
      </c>
      <c r="W23" s="197">
        <f t="shared" si="21"/>
        <v>23</v>
      </c>
      <c r="X23" s="197">
        <f t="shared" si="21"/>
        <v>55</v>
      </c>
      <c r="Y23" s="197">
        <f t="shared" si="21"/>
        <v>0</v>
      </c>
      <c r="Z23" s="197">
        <f t="shared" si="21"/>
        <v>0</v>
      </c>
      <c r="AA23" s="197">
        <f t="shared" si="21"/>
        <v>0</v>
      </c>
      <c r="AB23" s="197">
        <f t="shared" si="21"/>
        <v>0</v>
      </c>
      <c r="AC23" s="197">
        <f t="shared" si="21"/>
        <v>0</v>
      </c>
      <c r="AD23" s="197">
        <f t="shared" si="21"/>
        <v>6</v>
      </c>
      <c r="AE23" s="197">
        <f t="shared" si="21"/>
        <v>1</v>
      </c>
      <c r="AF23" s="197">
        <f t="shared" si="21"/>
        <v>5</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46</v>
      </c>
      <c r="AZ23" s="197">
        <f>SUBTOTAL(9,AZ15:AZ22)</f>
        <v>152</v>
      </c>
      <c r="BA23" s="197">
        <f>SUBTOTAL(9,BA15:BA22)</f>
        <v>147</v>
      </c>
      <c r="BB23" s="197">
        <f>SUBTOTAL(9,BB15:BB22)</f>
        <v>51</v>
      </c>
      <c r="BC23" s="197">
        <f>SUBTOTAL(9,BC15:BC22)</f>
        <v>23</v>
      </c>
      <c r="BD23" s="219">
        <f>IF(ISNUMBER(BA23/AZ23),BA23/AZ23," - ")</f>
        <v>0.96710526315789469</v>
      </c>
      <c r="BE23" s="220">
        <f>IF(ISNUMBER(BB23/BA23),BB23/BA23, " - ")</f>
        <v>0.34693877551020408</v>
      </c>
      <c r="BF23" s="220">
        <f>IF(ISNUMBER(BC23/BA23),BC23/BA23, " - ")</f>
        <v>0.15646258503401361</v>
      </c>
      <c r="BG23" s="221">
        <f>IF(ISNUMBER((AY23+AZ23)/BA23),(AY23+AZ23)/BA23," - ")</f>
        <v>1.346938775510204</v>
      </c>
      <c r="BH23" s="197">
        <f>SUBTOTAL(9,BH15:BH22)</f>
        <v>8</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5976</v>
      </c>
      <c r="J31" s="144">
        <f t="shared" si="36"/>
        <v>2899</v>
      </c>
      <c r="K31" s="144">
        <f t="shared" si="36"/>
        <v>2272</v>
      </c>
      <c r="L31" s="144">
        <f t="shared" si="36"/>
        <v>6603</v>
      </c>
      <c r="M31" s="144">
        <f t="shared" si="36"/>
        <v>630</v>
      </c>
      <c r="N31" s="144">
        <f t="shared" si="36"/>
        <v>1173</v>
      </c>
      <c r="O31" s="144">
        <f t="shared" si="36"/>
        <v>451</v>
      </c>
      <c r="P31" s="144">
        <f t="shared" si="36"/>
        <v>423</v>
      </c>
      <c r="Q31" s="144">
        <f t="shared" si="36"/>
        <v>155</v>
      </c>
      <c r="R31" s="144">
        <f t="shared" si="36"/>
        <v>5965</v>
      </c>
      <c r="S31" s="144">
        <f t="shared" si="36"/>
        <v>139</v>
      </c>
      <c r="T31" s="144">
        <f t="shared" si="36"/>
        <v>160</v>
      </c>
      <c r="U31" s="144">
        <f t="shared" si="36"/>
        <v>156</v>
      </c>
      <c r="V31" s="144">
        <f t="shared" si="36"/>
        <v>143</v>
      </c>
      <c r="W31" s="144">
        <f t="shared" si="36"/>
        <v>26</v>
      </c>
      <c r="X31" s="144">
        <f t="shared" si="36"/>
        <v>57</v>
      </c>
      <c r="Y31" s="144">
        <f t="shared" si="36"/>
        <v>261</v>
      </c>
      <c r="Z31" s="144">
        <f t="shared" si="36"/>
        <v>133</v>
      </c>
      <c r="AA31" s="144">
        <f t="shared" si="36"/>
        <v>80</v>
      </c>
      <c r="AB31" s="144">
        <f t="shared" si="36"/>
        <v>314</v>
      </c>
      <c r="AC31" s="144">
        <f t="shared" si="36"/>
        <v>0</v>
      </c>
      <c r="AD31" s="144">
        <f t="shared" si="36"/>
        <v>6</v>
      </c>
      <c r="AE31" s="144">
        <f t="shared" si="36"/>
        <v>1</v>
      </c>
      <c r="AF31" s="144">
        <f t="shared" si="36"/>
        <v>5</v>
      </c>
      <c r="AG31" s="144">
        <f t="shared" si="36"/>
        <v>0</v>
      </c>
      <c r="AH31" s="144">
        <f t="shared" si="36"/>
        <v>0</v>
      </c>
      <c r="AI31" s="144">
        <f t="shared" si="36"/>
        <v>0</v>
      </c>
      <c r="AJ31" s="144">
        <f t="shared" si="36"/>
        <v>0</v>
      </c>
      <c r="AK31" s="144">
        <f t="shared" si="36"/>
        <v>0</v>
      </c>
      <c r="AL31" s="144">
        <f t="shared" si="36"/>
        <v>0</v>
      </c>
      <c r="AM31" s="144">
        <f t="shared" si="36"/>
        <v>0</v>
      </c>
      <c r="AN31" s="224">
        <f t="shared" si="36"/>
        <v>0</v>
      </c>
      <c r="AO31" s="225">
        <v>9</v>
      </c>
      <c r="AP31" s="225">
        <v>8</v>
      </c>
      <c r="AQ31" s="225">
        <v>8</v>
      </c>
      <c r="AR31" s="225">
        <v>8</v>
      </c>
      <c r="AS31" s="166">
        <f t="shared" si="36"/>
        <v>0</v>
      </c>
      <c r="AT31" s="166">
        <f t="shared" si="36"/>
        <v>0</v>
      </c>
      <c r="AU31" s="225"/>
      <c r="AV31" s="226"/>
      <c r="AW31" s="225"/>
      <c r="AX31" s="226"/>
      <c r="AY31" s="143">
        <f>SUBTOTAL(9,AY9:AY30)</f>
        <v>139</v>
      </c>
      <c r="AZ31" s="144">
        <f>SUBTOTAL(9,AZ9:AZ30)</f>
        <v>160</v>
      </c>
      <c r="BA31" s="144">
        <f>SUBTOTAL(9,BA9:BA30)</f>
        <v>156</v>
      </c>
      <c r="BB31" s="144">
        <f>SUBTOTAL(9,BB9:BB30)</f>
        <v>143</v>
      </c>
      <c r="BC31" s="145">
        <f>SUBTOTAL(9,BC9:BC30)</f>
        <v>26</v>
      </c>
      <c r="BD31" s="227">
        <f>IF(ISNUMBER(BA31/AZ31),BA31/AZ31," - ")</f>
        <v>0.97499999999999998</v>
      </c>
      <c r="BE31" s="224">
        <f>IF(ISNUMBER(BB31/BA31),BB31/BA31, " - ")</f>
        <v>0.91666666666666663</v>
      </c>
      <c r="BF31" s="224">
        <f>IF(ISNUMBER(BC31/BA31),BC31/BA31, " - ")</f>
        <v>0.16666666666666666</v>
      </c>
      <c r="BG31" s="145">
        <f>IF(ISNUMBER((AY31+AZ31)/BA31),(AY31+AZ31)/BA31," - ")</f>
        <v>1.9166666666666667</v>
      </c>
      <c r="BH31" s="225">
        <f>SUBTOTAL(9,BH9:BH30)</f>
        <v>16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Uniaj4aJpkZlrcf13PByir6ol8mrYuZDKbvL30j+KHPuG3ddlYNXh4rHlxzHhO8xyRemKOiAB2MZqtbeSLuFA==" saltValue="JIvZEkRnMzon1oZ2xYDkY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RJxG/4QNu9Q1ql9WHUnS+eDu1m7sMyR8+QpQyrvZ2ePHSWPuLheXsp3e8UhLWamXwbBMhw9d1lCG6Wa8C4YOg==" saltValue="ff8lCLF5fOt+IaY89E4Il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TOLEDO  Resumenes por Partidos Judiciales  TOLEDO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5</v>
      </c>
      <c r="B9" s="745" t="s">
        <v>321</v>
      </c>
      <c r="C9" s="765" t="str">
        <f>Datos!A9</f>
        <v xml:space="preserve">Jdos. 1ª Instancia   </v>
      </c>
      <c r="D9" s="593"/>
      <c r="E9" s="764">
        <f>IF(ISNUMBER(Datos!AQ9),Datos!AQ9," - ")</f>
        <v>5</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133</v>
      </c>
      <c r="O9" s="549"/>
      <c r="P9" s="549"/>
      <c r="Q9" s="547">
        <f>IF(ISNUMBER(Datos!P9),Datos!P9,0)</f>
        <v>397</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151</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314</v>
      </c>
      <c r="AI9" s="549" t="str">
        <f>IF(ISNUMBER(Datos!CD9),Datos!CD9,"-")</f>
        <v>-</v>
      </c>
      <c r="AJ9" s="549" t="str">
        <f>IF(ISNUMBER(Datos!EN9),Datos!EN9," - ")</f>
        <v xml:space="preserve"> - </v>
      </c>
      <c r="AK9" s="549"/>
      <c r="AL9" s="550"/>
      <c r="AM9" s="766">
        <f>IF(ISNUMBER(Datos!R9),Datos!R9," - ")</f>
        <v>5829</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431</v>
      </c>
      <c r="BD9" s="693">
        <f>IF(ISNUMBER(Datos!N9),Datos!N9," - ")</f>
        <v>447</v>
      </c>
      <c r="BE9" s="693" t="str">
        <f>IF(ISNUMBER(Datos!BW9),Datos!BW9," - ")</f>
        <v xml:space="preserve"> - </v>
      </c>
      <c r="BF9" s="762" t="str">
        <f>IF(ISNUMBER(Datos!BX9),Datos!BX9," - ")</f>
        <v xml:space="preserve"> - </v>
      </c>
      <c r="BG9" s="763">
        <f>IF(ISNUMBER(IF(J_V="SI",Datos!K9/Datos!J9,(Datos!K9+Datos!AA9)/(Datos!J9+Datos!Z9))),IF(J_V="SI",Datos!K9/Datos!J9,(Datos!K9+Datos!AA9)/(Datos!J9+Datos!Z9))," - ")</f>
        <v>0.75545851528384278</v>
      </c>
      <c r="BH9" s="764">
        <f>IF(ISNUMBER(((IF(J_V="SI",Datos!L9/Datos!K9,(Datos!L9+Datos!AB9)/(Datos!K9+Datos!AA9)))*11)/factor_trimestre),((IF(J_V="SI",Datos!L9/Datos!K9,(Datos!L9+Datos!AB9)/(Datos!K9+Datos!AA9)))*11)/factor_trimestre," - ")</f>
        <v>7.8315441783649877</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4.4062332079527138E-2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103</v>
      </c>
      <c r="G10" s="543">
        <f>IF(ISNUMBER(Datos!I10),Datos!I10," - ")</f>
        <v>103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107</v>
      </c>
      <c r="AG10" s="549"/>
      <c r="AH10" s="549"/>
      <c r="AI10" s="549"/>
      <c r="AJ10" s="549"/>
      <c r="AK10" s="549"/>
      <c r="AL10" s="550"/>
      <c r="AM10" s="766">
        <f>IF(ISNUMBER(Datos!R10),Datos!R10," - ")</f>
        <v>23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0.33333333333333331</v>
      </c>
      <c r="BH10" s="764">
        <f>IF(ISNUMBER(((Datos!L10/Datos!K10)*11)/factor_trimestre),((Datos!L10/Datos!K10)*11)/factor_trimestre," - ")</f>
        <v>107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4.5454545454545456E-2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5</v>
      </c>
      <c r="F14" s="1197">
        <f t="shared" si="1"/>
        <v>103</v>
      </c>
      <c r="G14" s="1197">
        <f t="shared" si="1"/>
        <v>103</v>
      </c>
      <c r="H14" s="1198">
        <f t="shared" si="1"/>
        <v>0</v>
      </c>
      <c r="I14" s="1197">
        <f t="shared" si="1"/>
        <v>0</v>
      </c>
      <c r="J14" s="1164">
        <f t="shared" si="1"/>
        <v>0</v>
      </c>
      <c r="K14" s="1164">
        <f t="shared" si="1"/>
        <v>0</v>
      </c>
      <c r="L14" s="1198">
        <f t="shared" si="1"/>
        <v>0</v>
      </c>
      <c r="M14" s="1198">
        <f t="shared" si="1"/>
        <v>0</v>
      </c>
      <c r="N14" s="1198">
        <f t="shared" si="1"/>
        <v>133</v>
      </c>
      <c r="O14" s="1199">
        <f t="shared" si="1"/>
        <v>0</v>
      </c>
      <c r="P14" s="1199">
        <f t="shared" si="1"/>
        <v>0</v>
      </c>
      <c r="Q14" s="1198">
        <f t="shared" si="1"/>
        <v>398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151</v>
      </c>
      <c r="AD14" s="1198">
        <f t="shared" si="2"/>
        <v>0</v>
      </c>
      <c r="AE14" s="1198">
        <f t="shared" si="2"/>
        <v>0</v>
      </c>
      <c r="AF14" s="1198">
        <f t="shared" si="2"/>
        <v>107</v>
      </c>
      <c r="AG14" s="1198">
        <f t="shared" si="2"/>
        <v>0</v>
      </c>
      <c r="AH14" s="1198">
        <f t="shared" si="2"/>
        <v>314</v>
      </c>
      <c r="AI14" s="1198">
        <f t="shared" si="2"/>
        <v>0</v>
      </c>
      <c r="AJ14" s="1198">
        <f t="shared" si="2"/>
        <v>0</v>
      </c>
      <c r="AK14" s="1198">
        <f t="shared" si="2"/>
        <v>0</v>
      </c>
      <c r="AL14" s="1198">
        <f t="shared" si="2"/>
        <v>0</v>
      </c>
      <c r="AM14" s="1198">
        <f t="shared" si="2"/>
        <v>5852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431</v>
      </c>
      <c r="BD14" s="1198">
        <f t="shared" si="2"/>
        <v>447</v>
      </c>
      <c r="BE14" s="1198">
        <f t="shared" si="2"/>
        <v>0</v>
      </c>
      <c r="BF14" s="1198">
        <f t="shared" si="2"/>
        <v>0</v>
      </c>
      <c r="BG14" s="1198">
        <f>IF(ISNUMBER(Datos!K14/Datos!J14),Datos!K14/Datos!J14," - ")</f>
        <v>0.76761517615176156</v>
      </c>
      <c r="BH14" s="1202">
        <f>IF(ISNUMBER(((Datos!L14/Datos!K14)*11)/factor_trimestre),((Datos!L14/Datos!K14)*11)/factor_trimestre," - ")</f>
        <v>8.0052956751985871</v>
      </c>
      <c r="BI14" s="1198">
        <f>IF(ISNUMBER('Resol  Asuntos'!D14/NºAsuntos!G14),'Resol  Asuntos'!D14/NºAsuntos!G14," - ")</f>
        <v>0.35531739488870567</v>
      </c>
      <c r="BJ14" s="1198" t="str">
        <f>IF(ISNUMBER(Datos!CI14/Datos!CJ14),Datos!CI14/Datos!CJ14," - ")</f>
        <v xml:space="preserve"> - </v>
      </c>
      <c r="BK14" s="1198">
        <f>SUBTOTAL(9,BK8:BK13)</f>
        <v>0</v>
      </c>
      <c r="BL14" s="1198">
        <f>IF(ISNUMBER((I14-AB14+L14)/(F14)),(I14-AB14+L14)/(F14)," - ")</f>
        <v>-1.9417475728155338E-2</v>
      </c>
      <c r="BM14" s="1203">
        <f>SUBTOTAL(9,BM9:BM13)</f>
        <v>8.9516877534072586E-2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3</v>
      </c>
      <c r="B16" s="737" t="s">
        <v>511</v>
      </c>
      <c r="C16" s="749" t="str">
        <f>Datos!A16</f>
        <v xml:space="preserve">Jdos. Instrucción                               </v>
      </c>
      <c r="D16" s="750"/>
      <c r="E16" s="1555">
        <f>IF(ISNUMBER(Datos!AQ16),Datos!AQ16," - ")</f>
        <v>3</v>
      </c>
      <c r="F16" s="740">
        <f>IF(ISNUMBER(AF16+AB16-Datos!J16-L16),AF16+AB16-Datos!J16-L16," - ")</f>
        <v>1717</v>
      </c>
      <c r="G16" s="743">
        <f>IF(ISNUMBER(IF(D_I="SI",Datos!I16,Datos!I16+Datos!AC16)),IF(D_I="SI",Datos!I16,Datos!I16+Datos!AC16)," - ")</f>
        <v>1717</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23</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1027</v>
      </c>
      <c r="AC16" s="240">
        <f>IF(ISNUMBER(Datos!Q16),Datos!Q16," - ")</f>
        <v>4</v>
      </c>
      <c r="AD16" s="374"/>
      <c r="AE16" s="562"/>
      <c r="AF16" s="741">
        <f>IF(ISNUMBER(IF(D_I="SI",Datos!L16,Datos!L16+Datos!AF16)),IF(D_I="SI",Datos!L16,Datos!L16+Datos!AF16)," - ")</f>
        <v>1967</v>
      </c>
      <c r="AG16" s="374"/>
      <c r="AH16" s="374"/>
      <c r="AI16" s="374"/>
      <c r="AJ16" s="549"/>
      <c r="AK16" s="374"/>
      <c r="AL16" s="545"/>
      <c r="AM16" s="375">
        <f>IF(ISNUMBER(Datos!R16),Datos!R16," - ")</f>
        <v>107</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176</v>
      </c>
      <c r="BD16" s="243">
        <f>IF(ISNUMBER(Datos!N16),Datos!N16," - ")</f>
        <v>651</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0.80422866092404077</v>
      </c>
      <c r="BH16" s="764">
        <f>IF(ISNUMBER(((IF(D_I="SI",Datos!L16/Datos!K16,(Datos!L16+Datos!AF16)/(Datos!K16+Datos!AE16)))*11)/factor_trimestre),((IF(D_I="SI",Datos!L16/Datos!K16,(Datos!L16+Datos!AF16)/(Datos!K16+Datos!AE16)))*11)/factor_trimestre," - ")</f>
        <v>3.8305744888023368</v>
      </c>
      <c r="BI16" s="266">
        <f>IF(ISNUMBER('Resol  Asuntos'!D16/NºAsuntos!G16),'Resol  Asuntos'!D16/NºAsuntos!G16," - ")</f>
        <v>0.17137293086660174</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67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112</v>
      </c>
      <c r="AC18" s="547">
        <f>IF(ISNUMBER(Datos!Q18),Datos!Q18," - ")</f>
        <v>0</v>
      </c>
      <c r="AD18" s="549"/>
      <c r="AE18" s="562"/>
      <c r="AF18" s="551">
        <f>IF(ISNUMBER(Datos!L18),Datos!L18,"-")</f>
        <v>101</v>
      </c>
      <c r="AG18" s="549"/>
      <c r="AH18" s="549"/>
      <c r="AI18" s="549"/>
      <c r="AJ18" s="549"/>
      <c r="AK18" s="549"/>
      <c r="AL18" s="550"/>
      <c r="AM18" s="766">
        <f>IF(ISNUMBER(Datos!R18),Datos!R18," - ")</f>
        <v>6</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23</v>
      </c>
      <c r="BD18" s="693">
        <f>IF(ISNUMBER(Datos!N18),Datos!N18," - ")</f>
        <v>75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0.76712328767123283</v>
      </c>
      <c r="BH18" s="764">
        <f>IF(ISNUMBER(((IF(D_I="SI",Datos!L18/Datos!K18,(Datos!L18+Datos!AF18)/(Datos!K18+Datos!AE18)))*11)/factor_trimestre),((IF(D_I="SI",Datos!L18/Datos!K18,(Datos!L18+Datos!AF18)/(Datos!K18+Datos!AE18)))*11)/factor_trimestre," - ")</f>
        <v>1.8035714285714286</v>
      </c>
      <c r="BI18" s="763">
        <f>IF(ISNUMBER('Resol  Asuntos'!D18/NºAsuntos!G18),'Resol  Asuntos'!D18/NºAsuntos!G18," - ")</f>
        <v>0.20535714285714285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3</v>
      </c>
      <c r="F23" s="1197">
        <f>SUBTOTAL(9,F16:F22)</f>
        <v>1717</v>
      </c>
      <c r="G23" s="1197">
        <f>SUBTOTAL(9,G16:G22)</f>
        <v>1784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1139</v>
      </c>
      <c r="AC23" s="1198">
        <f t="shared" si="5"/>
        <v>4</v>
      </c>
      <c r="AD23" s="1198">
        <f t="shared" si="5"/>
        <v>0</v>
      </c>
      <c r="AE23" s="1198">
        <f t="shared" si="5"/>
        <v>0</v>
      </c>
      <c r="AF23" s="1198">
        <f t="shared" si="5"/>
        <v>2068</v>
      </c>
      <c r="AG23" s="1198">
        <f t="shared" si="5"/>
        <v>0</v>
      </c>
      <c r="AH23" s="1198">
        <f t="shared" si="5"/>
        <v>0</v>
      </c>
      <c r="AI23" s="1198">
        <f t="shared" si="5"/>
        <v>0</v>
      </c>
      <c r="AJ23" s="1198">
        <f t="shared" si="5"/>
        <v>0</v>
      </c>
      <c r="AK23" s="1198">
        <f t="shared" si="5"/>
        <v>0</v>
      </c>
      <c r="AL23" s="1198">
        <f t="shared" si="5"/>
        <v>0</v>
      </c>
      <c r="AM23" s="1198">
        <f t="shared" si="5"/>
        <v>113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199</v>
      </c>
      <c r="BD23" s="1198">
        <f t="shared" si="5"/>
        <v>726</v>
      </c>
      <c r="BE23" s="1198">
        <f t="shared" si="5"/>
        <v>0</v>
      </c>
      <c r="BF23" s="1198">
        <f t="shared" si="5"/>
        <v>0</v>
      </c>
      <c r="BG23" s="1198">
        <f>IF(ISNUMBER(Datos!K23/Datos!J23),Datos!K23/Datos!J23," - ")</f>
        <v>0.80042164441321151</v>
      </c>
      <c r="BH23" s="1202">
        <f>IF(ISNUMBER(((Datos!L23/Datos!K23)*11)/factor_trimestre),((Datos!L23/Datos!K23)*11)/factor_trimestre," - ")</f>
        <v>3.6312554872695348</v>
      </c>
      <c r="BI23" s="1198">
        <f>SUBTOTAL(9,BI16:BI22)</f>
        <v>0.37673007372374456</v>
      </c>
      <c r="BJ23" s="1198">
        <f>SUBTOTAL(9,BJ16:BJ22)</f>
        <v>0</v>
      </c>
      <c r="BK23" s="1198">
        <f>SUBTOTAL(9,BK16:BK22)</f>
        <v>0</v>
      </c>
      <c r="BL23" s="1198">
        <f>IF(ISNUMBER((I23-AB23+L23)/(F23)),(I23-AB23+L23)/(F23)," - ")</f>
        <v>-0.6633663366336634</v>
      </c>
      <c r="BM23" s="1205">
        <f>IF(ISNUMBER((Datos!P23-Datos!Q23)/(Datos!R23-Datos!P23+Datos!Q23)),(Datos!P23-Datos!Q23)/(Datos!R23-Datos!P23+Datos!Q23)," - ")</f>
        <v>0.22826086956521738</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8</v>
      </c>
      <c r="F31" s="1117">
        <f t="shared" si="18"/>
        <v>1820</v>
      </c>
      <c r="G31" s="1117">
        <f t="shared" si="18"/>
        <v>1887</v>
      </c>
      <c r="H31" s="1119">
        <f t="shared" si="18"/>
        <v>0</v>
      </c>
      <c r="I31" s="1117">
        <f t="shared" si="18"/>
        <v>0</v>
      </c>
      <c r="J31" s="1119">
        <f t="shared" si="18"/>
        <v>0</v>
      </c>
      <c r="K31" s="1119">
        <f t="shared" si="18"/>
        <v>0</v>
      </c>
      <c r="L31" s="1180">
        <f t="shared" si="18"/>
        <v>0</v>
      </c>
      <c r="M31" s="1180">
        <f t="shared" si="18"/>
        <v>0</v>
      </c>
      <c r="N31" s="1180">
        <f t="shared" si="18"/>
        <v>133</v>
      </c>
      <c r="O31" s="1180">
        <f t="shared" si="18"/>
        <v>0</v>
      </c>
      <c r="P31" s="1180">
        <f t="shared" si="18"/>
        <v>0</v>
      </c>
      <c r="Q31" s="1119">
        <f t="shared" si="18"/>
        <v>423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1141</v>
      </c>
      <c r="AC31" s="1118">
        <f t="shared" si="19"/>
        <v>155</v>
      </c>
      <c r="AD31" s="1118">
        <f t="shared" si="19"/>
        <v>0</v>
      </c>
      <c r="AE31" s="1118">
        <f t="shared" si="19"/>
        <v>0</v>
      </c>
      <c r="AF31" s="1125">
        <f t="shared" si="19"/>
        <v>2175</v>
      </c>
      <c r="AG31" s="1125">
        <f t="shared" si="19"/>
        <v>0</v>
      </c>
      <c r="AH31" s="1125">
        <f t="shared" si="19"/>
        <v>314</v>
      </c>
      <c r="AI31" s="1125">
        <f t="shared" si="19"/>
        <v>0</v>
      </c>
      <c r="AJ31" s="1118">
        <f t="shared" si="19"/>
        <v>0</v>
      </c>
      <c r="AK31" s="1125">
        <f t="shared" si="19"/>
        <v>0</v>
      </c>
      <c r="AL31" s="1125">
        <f t="shared" si="19"/>
        <v>0</v>
      </c>
      <c r="AM31" s="1125">
        <f t="shared" si="19"/>
        <v>5965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630</v>
      </c>
      <c r="BD31" s="1117">
        <f t="shared" si="19"/>
        <v>1173</v>
      </c>
      <c r="BE31" s="1117">
        <f t="shared" si="19"/>
        <v>0</v>
      </c>
      <c r="BF31" s="1127">
        <f t="shared" si="19"/>
        <v>0</v>
      </c>
      <c r="BG31" s="1223">
        <f>IF(ISNUMBER(Datos!K31/Datos!J31),Datos!K31/Datos!J31," - ")</f>
        <v>0.78371852362883754</v>
      </c>
      <c r="BH31" s="1223">
        <f>IF(ISNUMBER(((Datos!L31/Datos!K31)*11)/factor_trimestre),((Datos!L31/Datos!K31)*11)/factor_trimestre," - ")</f>
        <v>5.8125</v>
      </c>
      <c r="BI31" s="1103">
        <f>IF(ISNUMBER(Datos!J31/Datos!I31),Datos!J31/Datos!I31," - ")</f>
        <v>0.48510709504685406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-0.62692307692307692</v>
      </c>
      <c r="BM31" s="1188">
        <f>IF(ISNUMBER((Datos!P31-Datos!Q31+R31)/(Datos!R31-Datos!P31+Datos!Q31-R31)),(Datos!P31-Datos!Q31+R31)/(Datos!R31-Datos!P31+Datos!Q31-R31)," - ")</f>
        <v>4.7042302966473583E-2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539.14285714285711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1.7404711333664431</v>
      </c>
      <c r="F33" s="673">
        <f>IF(ISNUMBER(STDEV(F8:F30)),STDEV(F8:F30),"-")</f>
        <v>861.29313631693753</v>
      </c>
      <c r="G33" s="674">
        <f>IF(ISNUMBER(STDEV(G8:G30)),STDEV(G8:G30),"-")</f>
        <v>828.82716907113763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519.72268246312547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186.76876459561279</v>
      </c>
      <c r="BD33" s="673"/>
      <c r="BE33" s="673">
        <f>IF(ISNUMBER(STDEV(BE8:BE30)),STDEV(BE8:BE30),"-")</f>
        <v>0</v>
      </c>
      <c r="BF33" s="678">
        <f>IF(ISNUMBER(STDEV(BF8:BF30)),STDEV(BF8:BF30),"-")</f>
        <v>0</v>
      </c>
      <c r="BG33" s="1052">
        <f>IF(ISNUMBER(STDEV(BG8:BG30)),STDEV(BG8:BG30),"-")</f>
        <v>0.18298262306061375</v>
      </c>
      <c r="BH33" s="1058">
        <f>IF(ISNUMBER(STDEV(BH8:BH30)),STDEV(BH8:BH30),"-")</f>
        <v>41.706185806706181</v>
      </c>
      <c r="BI33" s="273">
        <f>IF(ISNUMBER(STDEV(BI8:BI30)),STDEV(BI8:BI30),"-")</f>
        <v>0.10387384578962318</v>
      </c>
      <c r="BJ33" s="244" t="str">
        <f>IF(ISNUMBER(BL33/BM33),BL33/BM33," - ")</f>
        <v xml:space="preserve"> - </v>
      </c>
      <c r="BK33" s="709"/>
      <c r="BL33" s="681">
        <f>IF(ISNUMBER(STDEV(BL8:BL30)),STDEV(BL8:BL30),"-")</f>
        <v>0.45534060628363765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iHyq/R93iBXTRIDQnAEpo7cJpvuaOHL97g8jPsIuYatQAlwxx53DSwriMyUqp/0tG41BZb7XuCBnTduwVE03Mg==" saltValue="TRu07Z94dW3RhcH5roCRq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TOLEDO  Resumenes por Partidos Judiciales  TOLEDO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5</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397</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151</v>
      </c>
      <c r="AA9" s="551" t="str">
        <f>IF(ISNUMBER(IF(J_V="SI",Datos!L9,Datos!L9+Datos!AB9)-IF(Monitorios="SI",Datos!CD9,0)),
                          IF(J_V="SI",Datos!L9,Datos!L9+Datos!AB9)-IF(Monitorios="SI",Datos!CD9,0),
                          " - ")</f>
        <v xml:space="preserve"> - </v>
      </c>
      <c r="AB9" s="549"/>
      <c r="AC9" s="549"/>
      <c r="AD9" s="563"/>
      <c r="AE9" s="563">
        <f>IF(ISNUMBER(Datos!R9),Datos!R9," - ")</f>
        <v>5829</v>
      </c>
      <c r="AF9" s="693" t="str">
        <f>IF(ISNUMBER(Datos!BV9),Datos!BV9," - ")</f>
        <v xml:space="preserve"> - </v>
      </c>
      <c r="AG9" s="552" t="str">
        <f>IF(ISNUMBER(Datos!DV9),Datos!DV9," - ")</f>
        <v xml:space="preserve"> - </v>
      </c>
      <c r="AH9" s="553"/>
      <c r="AI9" s="554"/>
      <c r="AJ9" s="552">
        <f>IF(ISNUMBER(Datos!M9),Datos!M9," - ")</f>
        <v>431</v>
      </c>
      <c r="AK9" s="693">
        <f>IF(ISNUMBER(Datos!N9),Datos!N9," - ")</f>
        <v>447</v>
      </c>
      <c r="AL9" s="693" t="str">
        <f>IF(ISNUMBER(Datos!BW9),Datos!BW9," - ")</f>
        <v xml:space="preserve"> - </v>
      </c>
      <c r="AM9" s="762" t="str">
        <f>IF(ISNUMBER(Datos!BX9),Datos!BX9," - ")</f>
        <v xml:space="preserve"> - </v>
      </c>
      <c r="AN9" s="763"/>
      <c r="AO9" s="764">
        <f>IF(ISNUMBER(((NºAsuntos!I9/NºAsuntos!G9)*11)/factor_trimestre),((NºAsuntos!I9/NºAsuntos!G9)*11)/factor_trimestre," - ")</f>
        <v>7.8315441783649877</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4.4062332079527138E-2</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103</v>
      </c>
      <c r="G10" s="552">
        <f>IF(ISNUMBER(Datos!I10),Datos!I10," - ")</f>
        <v>103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107</v>
      </c>
      <c r="AB10" s="549"/>
      <c r="AC10" s="549"/>
      <c r="AD10" s="563"/>
      <c r="AE10" s="563">
        <f>IF(ISNUMBER(Datos!R10),Datos!R10," - ")</f>
        <v>23</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107</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4.5454545454545456E-2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5</v>
      </c>
      <c r="F14" s="1197">
        <f>SUBTOTAL(9,F8:F13)</f>
        <v>103</v>
      </c>
      <c r="G14" s="1197">
        <f>SUBTOTAL(9,G8:G13)</f>
        <v>103</v>
      </c>
      <c r="H14" s="1211"/>
      <c r="I14" s="1197">
        <f t="shared" ref="I14:N14" si="1">SUBTOTAL(9,I8:I13)</f>
        <v>0</v>
      </c>
      <c r="J14" s="1164">
        <f t="shared" si="1"/>
        <v>0</v>
      </c>
      <c r="K14" s="1211">
        <f t="shared" si="1"/>
        <v>0</v>
      </c>
      <c r="L14" s="1211">
        <f t="shared" si="1"/>
        <v>0</v>
      </c>
      <c r="M14" s="1211">
        <f t="shared" si="1"/>
        <v>0</v>
      </c>
      <c r="N14" s="1211">
        <f t="shared" si="1"/>
        <v>398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151</v>
      </c>
      <c r="AA14" s="1199">
        <f t="shared" si="3"/>
        <v>107</v>
      </c>
      <c r="AB14" s="1199">
        <f t="shared" si="3"/>
        <v>0</v>
      </c>
      <c r="AC14" s="1199">
        <f t="shared" si="3"/>
        <v>0</v>
      </c>
      <c r="AD14" s="1199">
        <f t="shared" si="3"/>
        <v>0</v>
      </c>
      <c r="AE14" s="1199">
        <f t="shared" si="3"/>
        <v>5852</v>
      </c>
      <c r="AF14" s="1211">
        <f t="shared" si="3"/>
        <v>0</v>
      </c>
      <c r="AG14" s="1211">
        <f t="shared" si="3"/>
        <v>0</v>
      </c>
      <c r="AH14" s="1211">
        <f t="shared" si="3"/>
        <v>0</v>
      </c>
      <c r="AI14" s="1211">
        <f t="shared" si="3"/>
        <v>0</v>
      </c>
      <c r="AJ14" s="1211">
        <f t="shared" si="3"/>
        <v>431</v>
      </c>
      <c r="AK14" s="1211">
        <f t="shared" si="3"/>
        <v>447</v>
      </c>
      <c r="AL14" s="1211">
        <f t="shared" si="3"/>
        <v>0</v>
      </c>
      <c r="AM14" s="1211">
        <f t="shared" si="3"/>
        <v>0</v>
      </c>
      <c r="AN14" s="1211">
        <f t="shared" si="3"/>
        <v>0</v>
      </c>
      <c r="AO14" s="1203">
        <f>IF(ISNUMBER(((NºAsuntos!I14/NºAsuntos!G14)*11)/factor_trimestre),((NºAsuntos!I14/NºAsuntos!G14)*11)/factor_trimestre," - ")</f>
        <v>7.9950535861500409</v>
      </c>
      <c r="AP14" s="1213" t="str">
        <f>IF(ISNUMBER(Datos!CI14/Datos!CJ14),Datos!CI14/Datos!CJ14," - ")</f>
        <v xml:space="preserve"> - </v>
      </c>
      <c r="AQ14" s="1236">
        <f t="shared" ref="AQ14:AV14" si="4">SUBTOTAL(9,AQ9:AQ13)</f>
        <v>0</v>
      </c>
      <c r="AR14" s="1236">
        <f t="shared" si="4"/>
        <v>8.9516877534072586E-2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3</v>
      </c>
      <c r="B16" s="746" t="s">
        <v>511</v>
      </c>
      <c r="C16" s="765" t="str">
        <f>Datos!A16</f>
        <v xml:space="preserve">Jdos. Instrucción                               </v>
      </c>
      <c r="D16" s="593"/>
      <c r="E16" s="1558">
        <f>IF(ISNUMBER(Datos!AQ16),Datos!AQ16," - ")</f>
        <v>3</v>
      </c>
      <c r="F16" s="543">
        <f>IF(ISNUMBER(AA16+Y16-Datos!J16-K16),AA16+Y16-Datos!J16-K16," - ")</f>
        <v>1717</v>
      </c>
      <c r="G16" s="552">
        <f>IF(ISNUMBER(IF(D_I="SI",Datos!I16,Datos!I16+Datos!AC16)),IF(D_I="SI",Datos!I16,Datos!I16+Datos!AC16)," - ")</f>
        <v>1717</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23</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1027</v>
      </c>
      <c r="Z16" s="805">
        <f>IF(ISNUMBER(Datos!Q16),Datos!Q16," - ")</f>
        <v>4</v>
      </c>
      <c r="AA16" s="551">
        <f>IF(ISNUMBER(IF(D_I="SI",Datos!L16,Datos!L16+Datos!AF16)),IF(D_I="SI",Datos!L16,Datos!L16+Datos!AF16)," - ")</f>
        <v>1967</v>
      </c>
      <c r="AB16" s="549"/>
      <c r="AC16" s="549"/>
      <c r="AD16" s="563"/>
      <c r="AE16" s="563">
        <f>IF(ISNUMBER(Datos!R16),Datos!R16," - ")</f>
        <v>107</v>
      </c>
      <c r="AF16" s="693" t="str">
        <f>IF(ISNUMBER(Datos!BV16),Datos!BV16," - ")</f>
        <v xml:space="preserve"> - </v>
      </c>
      <c r="AG16" s="552"/>
      <c r="AH16" s="553"/>
      <c r="AI16" s="554"/>
      <c r="AJ16" s="552">
        <f>IF(ISNUMBER(Datos!M16),Datos!M16," - ")</f>
        <v>176</v>
      </c>
      <c r="AK16" s="693">
        <f>IF(ISNUMBER(Datos!N16),Datos!N16," - ")</f>
        <v>651</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3.8305744888023368</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67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112</v>
      </c>
      <c r="Z18" s="805">
        <f>IF(ISNUMBER(Datos!Q18),Datos!Q18," - ")</f>
        <v>0</v>
      </c>
      <c r="AA18" s="551">
        <f>IF(ISNUMBER(Datos!L18),Datos!L18,"-")</f>
        <v>101</v>
      </c>
      <c r="AB18" s="549"/>
      <c r="AC18" s="549"/>
      <c r="AD18" s="563"/>
      <c r="AE18" s="563">
        <f>IF(ISNUMBER(Datos!R18),Datos!R18," - ")</f>
        <v>6</v>
      </c>
      <c r="AF18" s="693" t="str">
        <f>IF(ISNUMBER(Datos!BV18),Datos!BV18," - ")</f>
        <v xml:space="preserve"> - </v>
      </c>
      <c r="AG18" s="552" t="str">
        <f>IF(ISNUMBER(Datos!DV18),Datos!DV18," - ")</f>
        <v xml:space="preserve"> - </v>
      </c>
      <c r="AH18" s="553"/>
      <c r="AI18" s="554"/>
      <c r="AJ18" s="552">
        <f>IF(ISNUMBER(Datos!M18),Datos!M18," - ")</f>
        <v>23</v>
      </c>
      <c r="AK18" s="693">
        <f>IF(ISNUMBER(Datos!N18),Datos!N18," - ")</f>
        <v>75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1.8035714285714286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3</v>
      </c>
      <c r="F23" s="1197">
        <f>SUBTOTAL(9,F16:F22)</f>
        <v>1717</v>
      </c>
      <c r="G23" s="1197">
        <f>SUBTOTAL(9,G16:G22)</f>
        <v>1784</v>
      </c>
      <c r="H23" s="1240">
        <f>SUBTOTAL(9,H16:H22)</f>
        <v>0</v>
      </c>
      <c r="I23" s="1217">
        <f>SUBTOTAL(9,I16:I22)</f>
        <v>0</v>
      </c>
      <c r="J23" s="1164">
        <f>SUBTOTAL(9,J15:J22)</f>
        <v>0</v>
      </c>
      <c r="K23" s="1240">
        <f t="shared" ref="K23:S23" si="5">SUBTOTAL(9,K16:K22)</f>
        <v>0</v>
      </c>
      <c r="L23" s="1240">
        <f t="shared" si="5"/>
        <v>0</v>
      </c>
      <c r="M23" s="1240">
        <f t="shared" si="5"/>
        <v>0</v>
      </c>
      <c r="N23" s="1240">
        <f t="shared" si="5"/>
        <v>25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1139</v>
      </c>
      <c r="Z23" s="1240">
        <f t="shared" si="6"/>
        <v>4</v>
      </c>
      <c r="AA23" s="1240">
        <f t="shared" si="6"/>
        <v>2068</v>
      </c>
      <c r="AB23" s="1240">
        <f t="shared" si="6"/>
        <v>0</v>
      </c>
      <c r="AC23" s="1240">
        <f t="shared" si="6"/>
        <v>0</v>
      </c>
      <c r="AD23" s="1240">
        <f t="shared" si="6"/>
        <v>0</v>
      </c>
      <c r="AE23" s="1240">
        <f t="shared" si="6"/>
        <v>113</v>
      </c>
      <c r="AF23" s="1240">
        <f t="shared" si="6"/>
        <v>0</v>
      </c>
      <c r="AG23" s="1240">
        <f t="shared" si="6"/>
        <v>0</v>
      </c>
      <c r="AH23" s="1240">
        <f t="shared" si="6"/>
        <v>0</v>
      </c>
      <c r="AI23" s="1240">
        <f t="shared" si="6"/>
        <v>0</v>
      </c>
      <c r="AJ23" s="1240">
        <f t="shared" si="6"/>
        <v>199</v>
      </c>
      <c r="AK23" s="1240">
        <f t="shared" si="6"/>
        <v>726</v>
      </c>
      <c r="AL23" s="1240">
        <f t="shared" si="6"/>
        <v>0</v>
      </c>
      <c r="AM23" s="1240">
        <f t="shared" si="6"/>
        <v>0</v>
      </c>
      <c r="AN23" s="1240">
        <f t="shared" si="6"/>
        <v>0</v>
      </c>
      <c r="AO23" s="1242">
        <f>IF(ISNUMBER(((NºAsuntos!I23/NºAsuntos!G23)*11)/factor_trimestre),((NºAsuntos!I23/NºAsuntos!G23)*11)/factor_trimestre," - ")</f>
        <v>3.6312554872695348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1820</v>
      </c>
      <c r="G31" s="1117">
        <f t="shared" si="12"/>
        <v>1887</v>
      </c>
      <c r="H31" s="1118">
        <f t="shared" si="12"/>
        <v>0</v>
      </c>
      <c r="I31" s="1117">
        <f t="shared" si="12"/>
        <v>0</v>
      </c>
      <c r="J31" s="1119">
        <f t="shared" si="12"/>
        <v>0</v>
      </c>
      <c r="K31" s="1117">
        <f t="shared" si="12"/>
        <v>0</v>
      </c>
      <c r="L31" s="1120">
        <f t="shared" si="12"/>
        <v>0</v>
      </c>
      <c r="M31" s="1117">
        <f t="shared" si="12"/>
        <v>0</v>
      </c>
      <c r="N31" s="1118">
        <f t="shared" si="12"/>
        <v>423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1141</v>
      </c>
      <c r="Z31" s="1124">
        <f t="shared" si="13"/>
        <v>155</v>
      </c>
      <c r="AA31" s="1125">
        <f t="shared" si="13"/>
        <v>2175</v>
      </c>
      <c r="AB31" s="1125">
        <f t="shared" si="13"/>
        <v>0</v>
      </c>
      <c r="AC31" s="1125">
        <f t="shared" si="13"/>
        <v>0</v>
      </c>
      <c r="AD31" s="1126">
        <f t="shared" si="13"/>
        <v>0</v>
      </c>
      <c r="AE31" s="1126">
        <f t="shared" si="13"/>
        <v>5965</v>
      </c>
      <c r="AF31" s="1127">
        <f t="shared" si="13"/>
        <v>0</v>
      </c>
      <c r="AG31" s="1128">
        <f t="shared" si="13"/>
        <v>0</v>
      </c>
      <c r="AH31" s="1129">
        <f t="shared" si="13"/>
        <v>0</v>
      </c>
      <c r="AI31" s="1127">
        <f t="shared" si="13"/>
        <v>0</v>
      </c>
      <c r="AJ31" s="1117">
        <f t="shared" si="13"/>
        <v>630</v>
      </c>
      <c r="AK31" s="1117">
        <f t="shared" si="13"/>
        <v>1173</v>
      </c>
      <c r="AL31" s="1117">
        <f t="shared" si="13"/>
        <v>0</v>
      </c>
      <c r="AM31" s="1130">
        <f t="shared" si="13"/>
        <v>0</v>
      </c>
      <c r="AN31" s="1120">
        <f>IF(ISNUMBER(Datos!K31/Datos!J31),Datos!K31/Datos!J31," - ")</f>
        <v>0.78371852362883754</v>
      </c>
      <c r="AO31" s="1120">
        <f>IF(ISNUMBER(FIND("06",Criterios!A8,1)),(IF(ISNUMBER(((Datos!R31/Datos!Q31)*11)/factor_trimestre),((Datos!R31/Datos!Q31)*11)/factor_trimestre," - ")),(IF(ISNUMBER(((Datos!L31/Datos!K31)*11)/factor_trimestre),((Datos!L31/Datos!K31)*11)/factor_trimestre," - ")))</f>
        <v>5.8125</v>
      </c>
      <c r="AP31" s="1131" t="str">
        <f>IF(ISNUMBER(Datos!CI31/Datos!CJ31),Datos!CI31/Datos!CJ31," - ")</f>
        <v xml:space="preserve"> - </v>
      </c>
      <c r="AQ31" s="1131">
        <f>IF(OR(ISNUMBER(FIND("01",Criterios!A8,1)),ISNUMBER(FIND("02",Criterios!A8,1)),ISNUMBER(FIND("03",Criterios!A8,1)),ISNUMBER(FIND("04",Criterios!A8,1))),(J31-Y31+K31)/(F31-K31),(I31-Y31+K31)/(F31-K31))</f>
        <v>-0.62692307692307692</v>
      </c>
      <c r="AR31" s="1131">
        <f>IF(ISNUMBER((Datos!P31-Datos!Q31+O31)/(Datos!R31-Datos!P31+Datos!Q31-O31)),(Datos!P31-Datos!Q31+O31)/(Datos!R31-Datos!P31+Datos!Q31-O31)," - ")</f>
        <v>4.7042302966473583E-2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539.14285714285711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861.29313631693753</v>
      </c>
      <c r="G33" s="674">
        <f>IF(ISNUMBER(STDEV(G8:G30)),STDEV(G8:G30),"-")</f>
        <v>828.82716907113763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186.76876459561279</v>
      </c>
      <c r="AK33" s="276"/>
      <c r="AL33" s="276">
        <f>IF(ISNUMBER(STDEV(AL8:AL30)),STDEV(AL8:AL30),"-")</f>
        <v>0</v>
      </c>
      <c r="AM33" s="278">
        <f>IF(ISNUMBER(STDEV(AM8:AM30)),STDEV(AM8:AM30),"-")</f>
        <v>0</v>
      </c>
      <c r="AN33" s="660">
        <f>IF(ISNUMBER(STDEV(AN8:AN30)),STDEV(AN8:AN30),"-")</f>
        <v>0</v>
      </c>
      <c r="AO33" s="661">
        <f>IF(ISNUMBER(STDEV(AO8:AO30)),STDEV(AO8:AO30),"-")</f>
        <v>41.706874203672911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PAu8sc2iz7dM/kM7kYINQ6puy99Y8AaJ+OBS8YKefua6ZXubkxzVsXU6OBxQt5k3zexQ24uucyzjQEkizvsSbQ==" saltValue="gSdt/x4SGTbK97Rexj82l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kGNWVuO0obAfIBnBM2sKa2xnBPjivLuX2avsb8Z9/cgAOdK+5MfEpL6opKsQDaPJxzrkFgldC980R9H0mpYzBw==" saltValue="x9UPhDUOhQ69btiZU+plX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k1Vwy9j73q/HMbxLeLW0kljIK3FyI0YMy9sonpaNHqaIAMGdt26s5BmyFH5ieXoXubhPgXkfDh9wVme4jtn8Q==" saltValue="od2It/xC2WOTs1uVZV1N6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TOLEDO  Resumenes por Partidos Judiciales  TOLEDO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0.35531739488870567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0.25124733939934207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iR2zwuKI1r5ZsS2zJOwEXPAXJlld8Pk/KdCNcyhq+8WEkFKuOpHXT6mPwG1w+LBQwhUir/phmmJR1bf+Z/+fyw==" saltValue="Sp3G5deWq8HuTAcV9jA/O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3Szyaq5BgFCvG6VTG2iSBEMGVCF8GptMqE47A3BHy+SiMaKp0kgRdZMGbiIil/57MnZSl+d8bgV6vw325M+shA==" saltValue="nIyI0xyc50foUPFpmOZHs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TOLEDO</v>
      </c>
      <c r="D3" s="436"/>
      <c r="E3" s="436"/>
      <c r="F3" s="436"/>
    </row>
    <row r="4" spans="1:14" ht="13.5" thickBot="1">
      <c r="A4" s="436"/>
      <c r="B4" s="439" t="str">
        <f>Criterios!A11 &amp;"  "&amp;Criterios!B11</f>
        <v>Resumenes por Partidos Judiciales  TOLEDO</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5</v>
      </c>
      <c r="C9" s="451">
        <f>IF(ISNUMBER(IF(J_V="SI",Datos!I9,Datos!I9+Datos!Y9)),IF(J_V="SI",Datos!I9,Datos!I9+Datos!Y9)," - ")</f>
        <v>4350</v>
      </c>
      <c r="D9" s="452" t="str">
        <f>IF(ISNUMBER(C9/Datos!BH9),C9/Datos!BH9," - ")</f>
        <v xml:space="preserve"> - </v>
      </c>
      <c r="E9" s="451">
        <f>IF(ISNUMBER(IF(J_V="SI",Datos!J9,Datos!J9+Datos!Z9)),IF(J_V="SI",Datos!J9,Datos!J9+Datos!Z9)," - ")</f>
        <v>1603</v>
      </c>
      <c r="F9" s="452">
        <f>IF(ISNUMBER(E9/B9),E9/B9," - ")</f>
        <v>320.60000000000002</v>
      </c>
      <c r="G9" s="451">
        <f>IF(ISNUMBER(IF(J_V="SI",Datos!K9,Datos!K9+Datos!AA9)),IF(J_V="SI",Datos!K9,Datos!K9+Datos!AA9)," - ")</f>
        <v>1211</v>
      </c>
      <c r="H9" s="452">
        <f>IF(ISNUMBER(G9/B9),G9/B9," - ")</f>
        <v>242.2</v>
      </c>
      <c r="I9" s="451">
        <f>IF(ISNUMBER(IF(J_V="SI",Datos!L9,Datos!L9+Datos!AB9)),IF(J_V="SI",Datos!L9,Datos!L9+Datos!AB9)," - ")</f>
        <v>4742</v>
      </c>
      <c r="J9" s="452">
        <f>IF(ISNUMBER(I9/B9),I9/B9," - ")</f>
        <v>948.4</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103</v>
      </c>
      <c r="D10" s="452">
        <f>IF(ISNUMBER(C10/Datos!BH10),C10/Datos!BH10," - ")</f>
        <v>103</v>
      </c>
      <c r="E10" s="451">
        <f>IF(ISNUMBER(Datos!J10),Datos!J10," - ")</f>
        <v>6</v>
      </c>
      <c r="F10" s="452">
        <f>IF(ISNUMBER(E10/B10),E10/B10," - ")</f>
        <v>6</v>
      </c>
      <c r="G10" s="451">
        <f>IF(ISNUMBER(Datos!K10),Datos!K10," - ")</f>
        <v>2</v>
      </c>
      <c r="H10" s="452">
        <f>IF(ISNUMBER(G10/B10),G10/B10," - ")</f>
        <v>2</v>
      </c>
      <c r="I10" s="451">
        <f>IF(ISNUMBER(Datos!L10),Datos!L10," - ")</f>
        <v>107</v>
      </c>
      <c r="J10" s="452">
        <f>IF(ISNUMBER(I10/B10),I10/B10," - ")</f>
        <v>107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4453</v>
      </c>
      <c r="D14" s="1147" t="str">
        <f>IF(ISNUMBER(C14/Datos!BI14),C14/Datos!BI14," - ")</f>
        <v xml:space="preserve"> - </v>
      </c>
      <c r="E14" s="1146">
        <f>SUBTOTAL(9,E8:E13)</f>
        <v>1609</v>
      </c>
      <c r="F14" s="1147">
        <f>IF(ISNUMBER(E14/B14),E14/B14," - ")</f>
        <v>321.8</v>
      </c>
      <c r="G14" s="1146">
        <f>SUBTOTAL(9,G8:G13)</f>
        <v>1213</v>
      </c>
      <c r="H14" s="1147">
        <f>IF(ISNUMBER(G14/B14),G14/B14," - ")</f>
        <v>242.6</v>
      </c>
      <c r="I14" s="1146">
        <f>SUBTOTAL(9,I8:I13)</f>
        <v>4849</v>
      </c>
      <c r="J14" s="1147">
        <f>IF(ISNUMBER(I14/B14),I14/B14," - ")</f>
        <v>969.8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3</v>
      </c>
      <c r="C16" s="451">
        <f>IF(ISNUMBER(IF(D_I="SI",Datos!I16,Datos!I16+Datos!AC16)),IF(D_I="SI",Datos!I16,Datos!I16+Datos!AC16)," - ")</f>
        <v>1717</v>
      </c>
      <c r="D16" s="452" t="str">
        <f>IF(ISNUMBER(C16/Datos!BH16),C16/Datos!BH16," - ")</f>
        <v xml:space="preserve"> - </v>
      </c>
      <c r="E16" s="451">
        <f>IF(ISNUMBER(IF(D_I="SI",Datos!J16,Datos!J16+Datos!AD16)),IF(D_I="SI",Datos!J16,Datos!J16+Datos!AD16)," - ")</f>
        <v>1277</v>
      </c>
      <c r="F16" s="452">
        <f>IF(ISNUMBER(E16/B16),E16/B16," - ")</f>
        <v>425.66666666666669</v>
      </c>
      <c r="G16" s="451">
        <f>IF(ISNUMBER(IF(D_I="SI",Datos!K16,Datos!K16+Datos!AE16)),IF(D_I="SI",Datos!K16,Datos!K16+Datos!AE16)," - ")</f>
        <v>1027</v>
      </c>
      <c r="H16" s="452">
        <f>IF(ISNUMBER(G16/B16),G16/B16," - ")</f>
        <v>342.33333333333331</v>
      </c>
      <c r="I16" s="451">
        <f>IF(ISNUMBER(IF(D_I="SI",Datos!L16,Datos!L16+Datos!AF16)),IF(D_I="SI",Datos!L16,Datos!L16+Datos!AF16)," - ")</f>
        <v>1967</v>
      </c>
      <c r="J16" s="452">
        <f>IF(ISNUMBER(I16/B16),I16/B16," - ")</f>
        <v>655.66666666666663</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67</v>
      </c>
      <c r="D18" s="452">
        <f>IF(ISNUMBER(C18/Datos!BH18),C18/Datos!BH18," - ")</f>
        <v>67</v>
      </c>
      <c r="E18" s="451">
        <f>IF(ISNUMBER(IF(D_I="SI",Datos!J18,Datos!J18+Datos!AD18)),IF(D_I="SI",Datos!J18,Datos!J18+Datos!AD18)," - ")</f>
        <v>146</v>
      </c>
      <c r="F18" s="452">
        <f>IF(ISNUMBER(E18/B18),E18/B18," - ")</f>
        <v>146</v>
      </c>
      <c r="G18" s="451">
        <f>IF(ISNUMBER(IF(D_I="SI",Datos!K18,Datos!K18+Datos!AE18)),IF(D_I="SI",Datos!K18,Datos!K18+Datos!AE18)," - ")</f>
        <v>112</v>
      </c>
      <c r="H18" s="452">
        <f>IF(ISNUMBER(G18/B18),G18/B18," - ")</f>
        <v>112</v>
      </c>
      <c r="I18" s="451">
        <f>IF(ISNUMBER(IF(D_I="SI",Datos!L18,Datos!L18+Datos!AF18)),IF(D_I="SI",Datos!L18,Datos!L18+Datos!AF18)," - ")</f>
        <v>101</v>
      </c>
      <c r="J18" s="452">
        <f>IF(ISNUMBER(I18/B18),I18/B18," - ")</f>
        <v>101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1784</v>
      </c>
      <c r="D23" s="1147" t="str">
        <f>IF(ISNUMBER(C23/Datos!BI23),C23/Datos!BI23," - ")</f>
        <v xml:space="preserve"> - </v>
      </c>
      <c r="E23" s="1146">
        <f>SUBTOTAL(9,E15:E22)</f>
        <v>1423</v>
      </c>
      <c r="F23" s="1147">
        <f>IF(ISNUMBER(E23/B23),E23/B23," - ")</f>
        <v>474.33333333333331</v>
      </c>
      <c r="G23" s="1146">
        <f>SUBTOTAL(9,G15:G22)</f>
        <v>1139</v>
      </c>
      <c r="H23" s="1147">
        <f>IF(ISNUMBER(G23/B23),G23/B23," - ")</f>
        <v>379.66666666666669</v>
      </c>
      <c r="I23" s="1146">
        <f>SUBTOTAL(9,I15:I22)</f>
        <v>2068</v>
      </c>
      <c r="J23" s="1147">
        <f>IF(ISNUMBER(I23/B23),I23/B23," - ")</f>
        <v>689.33333333333337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8</v>
      </c>
      <c r="C31" s="1084">
        <f>SUBTOTAL(9,C9:C30)</f>
        <v>6237</v>
      </c>
      <c r="D31" s="1085" t="str">
        <f>IF(ISNUMBER(C31/Datos!BI31),C31/Datos!BI31," - ")</f>
        <v xml:space="preserve"> - </v>
      </c>
      <c r="E31" s="1084">
        <f>SUBTOTAL(9,E9:E30)</f>
        <v>3032</v>
      </c>
      <c r="F31" s="1085">
        <f>IF(ISNUMBER(E31/B31),E31/B31," - ")</f>
        <v>379</v>
      </c>
      <c r="G31" s="1084">
        <f>SUBTOTAL(9,G9:G30)</f>
        <v>2352</v>
      </c>
      <c r="H31" s="1085">
        <f>IF(ISNUMBER(G31/B31),G31/B31," - ")</f>
        <v>294</v>
      </c>
      <c r="I31" s="1084">
        <f>SUBTOTAL(9,I9:I30)</f>
        <v>6917</v>
      </c>
      <c r="J31" s="1085">
        <f>IF(ISNUMBER(I31/B31),I31/B31," - ")</f>
        <v>864.625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0vuQJG2B8LJi6/4XNy7txHGQiHlXRtKgJSeEogo/R0VZVdLvMH/0ZxHa7cCb+3TU8s1n1ol3f8TThkPT/D8Lrg==" saltValue="Lg2ZeHF7h2qav39VwgojP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TOLEDO  Resumenes por Partidos Judiciales  TOLEDO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5</v>
      </c>
      <c r="B9" s="745" t="s">
        <v>321</v>
      </c>
      <c r="C9" s="765" t="str">
        <f>Datos!A9</f>
        <v xml:space="preserve">Jdos. 1ª Instancia   </v>
      </c>
      <c r="D9" s="593"/>
      <c r="E9" s="904">
        <f>IF(ISNUMBER(Datos!AQ9),Datos!AQ9," - ")</f>
        <v>5</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103</v>
      </c>
      <c r="G10" s="906">
        <f>IF(ISNUMBER(Datos!I10),Datos!I10," - ")</f>
        <v>103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107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107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103</v>
      </c>
      <c r="G14" s="1256">
        <f t="shared" si="0"/>
        <v>103</v>
      </c>
      <c r="H14" s="1256">
        <f t="shared" si="0"/>
        <v>0</v>
      </c>
      <c r="I14" s="1258">
        <f t="shared" si="0"/>
        <v>0</v>
      </c>
      <c r="J14" s="1257">
        <f t="shared" si="0"/>
        <v>0</v>
      </c>
      <c r="K14" s="1257">
        <f t="shared" si="0"/>
        <v>0</v>
      </c>
      <c r="L14" s="1259">
        <f t="shared" si="0"/>
        <v>0</v>
      </c>
      <c r="M14" s="1259">
        <f t="shared" si="0"/>
        <v>0</v>
      </c>
      <c r="N14" s="1257">
        <f t="shared" si="0"/>
        <v>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0</v>
      </c>
      <c r="AE14" s="1257">
        <f t="shared" si="1"/>
        <v>0</v>
      </c>
      <c r="AF14" s="1257">
        <f t="shared" si="1"/>
        <v>107</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f t="shared" si="1"/>
        <v>0</v>
      </c>
      <c r="AP14" s="1262">
        <f>IF(ISNUMBER(((Datos!L14/Datos!K14)*11)/factor_trimestre),((Datos!L14/Datos!K14)*11)/factor_trimestre," - ")</f>
        <v>8.0052956751985871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-1.9417475728155338E-2</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3</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3.6312554872695348</v>
      </c>
      <c r="AQ23" s="1262">
        <f>IF(ISNUMBER(((Datos!M23/Datos!L23)*11)/factor_trimestre),((Datos!M23/Datos!L23)*11)/factor_trimestre," - ")</f>
        <v>0.19245647969052226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0.22826086956521738</v>
      </c>
      <c r="AW23" s="1265">
        <f>IF(ISNUMBER((Datos!Q23-Datos!R23)/(Datos!S23-Datos!Q23+Datos!R23)),(Datos!Q23-Datos!R23)/(Datos!S23-Datos!Q23+Datos!R23)," - ")</f>
        <v>-0.70322580645161292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103</v>
      </c>
      <c r="G31" s="1278">
        <f t="shared" si="8"/>
        <v>103</v>
      </c>
      <c r="H31" s="1278">
        <f t="shared" si="8"/>
        <v>0</v>
      </c>
      <c r="I31" s="1279">
        <f t="shared" si="8"/>
        <v>0</v>
      </c>
      <c r="J31" s="1280">
        <f t="shared" si="8"/>
        <v>0</v>
      </c>
      <c r="K31" s="1280">
        <f t="shared" si="8"/>
        <v>0</v>
      </c>
      <c r="L31" s="1280">
        <f t="shared" si="8"/>
        <v>0</v>
      </c>
      <c r="M31" s="1280">
        <f t="shared" si="8"/>
        <v>0</v>
      </c>
      <c r="N31" s="1279">
        <f t="shared" si="8"/>
        <v>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0</v>
      </c>
      <c r="AE31" s="1284">
        <f t="shared" si="9"/>
        <v>0</v>
      </c>
      <c r="AF31" s="1285">
        <f t="shared" si="9"/>
        <v>107</v>
      </c>
      <c r="AG31" s="1285">
        <f t="shared" si="9"/>
        <v>0</v>
      </c>
      <c r="AH31" s="1285">
        <f t="shared" si="9"/>
        <v>0</v>
      </c>
      <c r="AI31" s="1285">
        <f t="shared" si="9"/>
        <v>0</v>
      </c>
      <c r="AJ31" s="1286">
        <f t="shared" si="9"/>
        <v>0</v>
      </c>
      <c r="AK31" s="1286">
        <f t="shared" si="9"/>
        <v>0</v>
      </c>
      <c r="AL31" s="1278">
        <f t="shared" si="9"/>
        <v>0</v>
      </c>
      <c r="AM31" s="1278">
        <f t="shared" si="9"/>
        <v>0</v>
      </c>
      <c r="AN31" s="1278">
        <f t="shared" si="9"/>
        <v>0</v>
      </c>
      <c r="AO31" s="1278">
        <f t="shared" si="9"/>
        <v>0</v>
      </c>
      <c r="AP31" s="1278">
        <f>IF(ISNUMBER(((Datos!L31/Datos!K31)*11)/factor_trimestre),((Datos!L31/Datos!K31)*11)/factor_trimestre," - ")</f>
        <v>5.8125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-1.9417475728155338E-2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4.7042302966473583E-2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56.415423423032109</v>
      </c>
      <c r="G33" s="1007">
        <f>IF(ISNUMBER(STDEV(G8:G30)),STDEV(G8:G30),"-")</f>
        <v>56.415423423032109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0</v>
      </c>
      <c r="AM33" s="1006"/>
      <c r="AN33" s="1006">
        <f>IF(ISNUMBER(STDEV(AN8:AN30)),STDEV(AN8:AN30),"-")</f>
        <v>0</v>
      </c>
      <c r="AO33" s="1012">
        <f>IF(ISNUMBER(STDEV(AO8:AO30)),STDEV(AO8:AO30),"-")</f>
        <v>0</v>
      </c>
      <c r="AP33" s="1065">
        <f>IF(ISNUMBER(STDEV(AP8:AP30)),STDEV(AP8:AP30),"-")</f>
        <v>58.458220200496783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Byq9lIbKOXXLC4U/sGTfs5JlCLBYgFz2fhiEeebM2Yuw7swhcLoVCM04di4pvXNoApVloZAcdlT0UvEf5nY42g==" saltValue="BH7WhIE+4C9oAuBPEbW4p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TOLEDO</v>
      </c>
      <c r="C3" s="463"/>
      <c r="F3" s="436"/>
      <c r="G3" s="436"/>
      <c r="H3" s="436"/>
    </row>
    <row r="4" spans="1:15" ht="13.5" thickBot="1">
      <c r="A4" s="436"/>
      <c r="B4" s="439" t="str">
        <f>Criterios!A11 &amp;"  "&amp;Criterios!B11</f>
        <v>Resumenes por Partidos Judiciales  TOLEDO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5</v>
      </c>
      <c r="D9" s="451">
        <f>Datos!BK9</f>
        <v>0</v>
      </c>
      <c r="E9" s="451">
        <f>Datos!AQ9</f>
        <v>5</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f>IF(ISNUMBER(E12/Datos!BH12),E12/Datos!BH12," - ")</f>
        <v>0</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3</v>
      </c>
      <c r="D16" s="451">
        <f>Datos!BK16</f>
        <v>0</v>
      </c>
      <c r="E16" s="451">
        <f>Datos!AQ16</f>
        <v>3</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f>IF(ISNUMBER(E17/Datos!BH17),E17/Datos!BH17," - ")</f>
        <v>0</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oQLDD+O2vNKplVTHGFz3OL3h93F62hX4NOgS8ZXXvr8hlDR9fWltUGtOxznWkrQKsp3+0AMnM83QkMMpeSr/eQ==" saltValue="nMpOAevEvkImIh3VlV40V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TOLEDO</v>
      </c>
      <c r="C3" s="475"/>
      <c r="D3" s="476"/>
    </row>
    <row r="4" spans="1:9" ht="13.5" thickBot="1">
      <c r="B4" s="477" t="str">
        <f>Criterios!A11 &amp;"  "&amp;Criterios!B11</f>
        <v>Resumenes por Partidos Judiciales  TOLEDO</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5</v>
      </c>
      <c r="C9" s="458">
        <f>Datos!AQ9</f>
        <v>5</v>
      </c>
      <c r="D9" s="451">
        <f>IF(ISNUMBER(Datos!M9),Datos!M9," - ")</f>
        <v>431</v>
      </c>
      <c r="E9" s="452">
        <f t="shared" ref="E9:E14" si="0">IF(ISNUMBER(D9/B9),D9/B9," - ")</f>
        <v>86.2</v>
      </c>
      <c r="F9" s="451">
        <f>IF(ISNUMBER(Datos!N9),Datos!N9," - ")</f>
        <v>447</v>
      </c>
      <c r="G9" s="452">
        <f t="shared" ref="G9:G14" si="1">IF(ISNUMBER(F9/B9),F9/B9," - ")</f>
        <v>89.4</v>
      </c>
      <c r="H9" s="451">
        <f>IF(ISNUMBER(Datos!O9),Datos!O9," - ")</f>
        <v>449</v>
      </c>
      <c r="I9" s="452">
        <f>IF(ISNUMBER(H9/B9),H9/B9," - ")</f>
        <v>89.8</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431</v>
      </c>
      <c r="E14" s="1147">
        <f t="shared" si="0"/>
        <v>71.833333333333329</v>
      </c>
      <c r="F14" s="1146">
        <f>SUBTOTAL(9,F9:F13)</f>
        <v>447</v>
      </c>
      <c r="G14" s="1147">
        <f t="shared" si="1"/>
        <v>74.5</v>
      </c>
      <c r="H14" s="1146">
        <f>SUBTOTAL(9,H9:H13)</f>
        <v>449</v>
      </c>
      <c r="I14" s="1147">
        <f>IF(ISNUMBER(H14/B14),H14/B14," - ")</f>
        <v>74.833333333333329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3</v>
      </c>
      <c r="C16" s="481">
        <f>Datos!AQ16</f>
        <v>3</v>
      </c>
      <c r="D16" s="451">
        <f>IF(ISNUMBER(Datos!M16),Datos!M16," - ")</f>
        <v>176</v>
      </c>
      <c r="E16" s="452">
        <f t="shared" ref="E16:E23" si="3">IF(ISNUMBER(D16/B16),D16/B16," - ")</f>
        <v>58.666666666666664</v>
      </c>
      <c r="F16" s="451">
        <f>IF(ISNUMBER(Datos!N16),Datos!N16," - ")</f>
        <v>651</v>
      </c>
      <c r="G16" s="452">
        <f t="shared" ref="G16:G23" si="4">IF(ISNUMBER(F16/B16),F16/B16," - ")</f>
        <v>217</v>
      </c>
      <c r="H16" s="451">
        <f>IF(ISNUMBER(Datos!O16),Datos!O16," - ")</f>
        <v>2</v>
      </c>
      <c r="I16" s="452">
        <f t="shared" ref="I16:I22" si="5">IF(ISNUMBER(H16/B16),H16/B16," - ")</f>
        <v>0.66666666666666663</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0</v>
      </c>
      <c r="D18" s="451">
        <f>IF(ISNUMBER(Datos!M18),Datos!M18," - ")</f>
        <v>23</v>
      </c>
      <c r="E18" s="452">
        <f>IF(ISNUMBER(D18/B18),D18/B18," - ")</f>
        <v>23</v>
      </c>
      <c r="F18" s="451">
        <f>IF(ISNUMBER(Datos!N18),Datos!N18," - ")</f>
        <v>75</v>
      </c>
      <c r="G18" s="452">
        <f>IF(ISNUMBER(F18/B18),F18/B18," - ")</f>
        <v>75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199</v>
      </c>
      <c r="E23" s="1147">
        <f t="shared" si="3"/>
        <v>49.75</v>
      </c>
      <c r="F23" s="1146">
        <f>SUBTOTAL(9,F16:F22)</f>
        <v>726</v>
      </c>
      <c r="G23" s="1147">
        <f t="shared" si="4"/>
        <v>181.5</v>
      </c>
      <c r="H23" s="1146">
        <f>SUBTOTAL(9,H16:H22)</f>
        <v>2</v>
      </c>
      <c r="I23" s="1147">
        <f>IF(ISNUMBER(H23/B23),H23/B23," - ")</f>
        <v>0.5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8</v>
      </c>
      <c r="C31" s="1084">
        <f>Datos!AR31</f>
        <v>8</v>
      </c>
      <c r="D31" s="1084">
        <f>SUBTOTAL(9,D8:D30)</f>
        <v>630</v>
      </c>
      <c r="E31" s="1085">
        <f>IF(ISNUMBER(D31/B31),D31/B31," - ")</f>
        <v>78.75</v>
      </c>
      <c r="F31" s="1084">
        <f>SUBTOTAL(9,F8:F30)</f>
        <v>1173</v>
      </c>
      <c r="G31" s="1085">
        <f>IF(ISNUMBER(F31/B31),F31/B31," - ")</f>
        <v>146.625</v>
      </c>
      <c r="H31" s="1084">
        <f>SUBTOTAL(9,H8:H30)</f>
        <v>451</v>
      </c>
      <c r="I31" s="1085">
        <f>IF(ISNUMBER(H31/B31),H31/B31," - ")</f>
        <v>56.375</v>
      </c>
    </row>
    <row r="34" spans="1:1">
      <c r="A34" s="439" t="str">
        <f>Criterios!A4</f>
        <v>Fecha Informe: 06 may. 2023</v>
      </c>
    </row>
    <row r="39" spans="1:1">
      <c r="A39" s="462"/>
    </row>
  </sheetData>
  <sheetProtection algorithmName="SHA-512" hashValue="nbtzWJpr9kKDZptBLP8MKx6/H+TaEisX4Ncybl23gf1asztYtb9A6UvG1oV1NVC6g8EriBNMOnFSp87adWhbWw==" saltValue="KM+jY3qgqIEym3bFJnBDL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TOLEDO</v>
      </c>
    </row>
    <row r="4" spans="1:4" ht="13.5" thickBot="1">
      <c r="B4" s="439" t="str">
        <f>Criterios!A11 &amp;"  "&amp;Criterios!B11</f>
        <v>Resumenes por Partidos Judiciales  TOLEDO</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397</v>
      </c>
      <c r="C9" s="489">
        <f>IF(ISNUMBER(Datos!Q9),Datos!Q9," - ")</f>
        <v>151</v>
      </c>
      <c r="D9" s="456">
        <f>IF(ISNUMBER(Datos!R9),Datos!R9," - ")</f>
        <v>5829</v>
      </c>
    </row>
    <row r="10" spans="1:4">
      <c r="A10" s="450" t="str">
        <f>Datos!A10</f>
        <v>Jdos. Violencia contra la mujer</v>
      </c>
      <c r="B10" s="488">
        <f>IF(ISNUMBER(Datos!P10),Datos!P10," - ")</f>
        <v>1</v>
      </c>
      <c r="C10" s="489">
        <f>IF(ISNUMBER(Datos!Q10),Datos!Q10," - ")</f>
        <v>0</v>
      </c>
      <c r="D10" s="456">
        <f>IF(ISNUMBER(Datos!R10),Datos!R10," - ")</f>
        <v>23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398</v>
      </c>
      <c r="C14" s="1150">
        <f>SUBTOTAL(9,C9:C13)</f>
        <v>151</v>
      </c>
      <c r="D14" s="1148">
        <f>SUBTOTAL(9,D9:D13)</f>
        <v>5852</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23</v>
      </c>
      <c r="C16" s="489">
        <f>IF(ISNUMBER(Datos!Q16),Datos!Q16," - ")</f>
        <v>4</v>
      </c>
      <c r="D16" s="456">
        <f>IF(ISNUMBER(Datos!R16),Datos!R16," - ")</f>
        <v>107</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2</v>
      </c>
      <c r="C18" s="489">
        <f>IF(ISNUMBER(Datos!Q18),Datos!Q18," - ")</f>
        <v>0</v>
      </c>
      <c r="D18" s="456">
        <f>IF(ISNUMBER(Datos!R18),Datos!R18," - ")</f>
        <v>6</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25</v>
      </c>
      <c r="C23" s="1150">
        <f>SUBTOTAL(9,C16:C22)</f>
        <v>4</v>
      </c>
      <c r="D23" s="1148">
        <f>SUBTOTAL(9,D16:D22)</f>
        <v>113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423</v>
      </c>
      <c r="C31" s="1089">
        <f>SUBTOTAL(9,C8:C30)</f>
        <v>155</v>
      </c>
      <c r="D31" s="1090">
        <f>SUBTOTAL(9,D8:D30)</f>
        <v>5965</v>
      </c>
    </row>
    <row r="32" spans="1:4" ht="7.5" customHeight="1"/>
    <row r="33" spans="1:1" ht="6" customHeight="1"/>
    <row r="34" spans="1:1">
      <c r="A34" s="439" t="str">
        <f>Criterios!A4</f>
        <v>Fecha Informe: 06 may. 2023</v>
      </c>
    </row>
    <row r="39" spans="1:1">
      <c r="A39" s="462"/>
    </row>
  </sheetData>
  <sheetProtection algorithmName="SHA-512" hashValue="sIgMyKfQ5XZcv9nd41dxOKnP8l7gbjyU5/kUpZZKz+U2XJt75KELLzPA8auM3zckAAcduCThlJB7Ur6yxGG44w==" saltValue="dIyxy4Q8t6cPezgHAblyx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TOLEDO</v>
      </c>
    </row>
    <row r="4" spans="1:11" ht="10.5" customHeight="1" thickBot="1">
      <c r="B4" s="439" t="str">
        <f>Criterios!A11 &amp;"  "&amp;Criterios!B11</f>
        <v>Resumenes por Partidos Judiciales  TOLEDO</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0.10752688172043011</v>
      </c>
      <c r="C10" s="515">
        <f>IF(ISNUMBER((Datos!J10-Datos!T10)/Datos!T10),(Datos!J10-Datos!T10)/Datos!T10," - ")</f>
        <v>-0.25</v>
      </c>
      <c r="D10" s="515">
        <f>IF(ISNUMBER((Datos!K10-Datos!U10)/Datos!U10),(Datos!K10-Datos!U10)/Datos!U10," - ")</f>
        <v>-0.77777777777777779</v>
      </c>
      <c r="E10" s="515">
        <f>IF(ISNUMBER((Datos!L10-Datos!V10)/Datos!V10),(Datos!L10-Datos!V10)/Datos!V10," - ")</f>
        <v>0.16304347826086957</v>
      </c>
      <c r="F10" s="515">
        <f>IF(ISNUMBER((Datos!M10-Datos!W10)/Datos!W10),(Datos!M10-Datos!W10)/Datos!W10," - ")</f>
        <v>-1</v>
      </c>
      <c r="G10" s="516">
        <f>IF(ISNUMBER((Datos!N10-Datos!X10)/Datos!X10),(Datos!N10-Datos!X10)/Datos!X10," - ")</f>
        <v>-1</v>
      </c>
      <c r="H10" s="514">
        <f>IF(ISNUMBER(((NºAsuntos!G10/NºAsuntos!E10)-Datos!BD10)/Datos!BD10),((NºAsuntos!G10/NºAsuntos!E10)-Datos!BD10)/Datos!BD10," - ")</f>
        <v>-0.70370370370370372</v>
      </c>
      <c r="I10" s="515">
        <f>IF(ISNUMBER(((NºAsuntos!I10/NºAsuntos!G10)-Datos!BE10)/Datos!BE10),((NºAsuntos!I10/NºAsuntos!G10)-Datos!BE10)/Datos!BE10," - ")</f>
        <v>4.2336956521739131</v>
      </c>
      <c r="J10" s="521">
        <f>IF(ISNUMBER((('Resol  Asuntos'!D10/NºAsuntos!G10)-Datos!BF10)/Datos!BF10),(('Resol  Asuntos'!D10/NºAsuntos!G10)-Datos!BF10)/Datos!BF10," - ")</f>
        <v>-1</v>
      </c>
      <c r="K10" s="522">
        <f>IF(ISNUMBER((((NºAsuntos!C10+NºAsuntos!E10)/NºAsuntos!G10)-Datos!BG10)/Datos!BG10),(((NºAsuntos!C10+NºAsuntos!E10)/NºAsuntos!G10)-Datos!BG10)/Datos!BG10," - ")</f>
        <v>3.8564356435643568</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46.881720430107528</v>
      </c>
      <c r="C14" s="1152">
        <f>IF(ISNUMBER(
   IF(J_V="SI",(Datos!J14-Datos!T14)/Datos!T14,(Datos!J14+Datos!Z14-(Datos!T14+Datos!AH14))/(Datos!T14+Datos!AH14))
     ),IF(J_V="SI",(Datos!J14-Datos!T14)/Datos!T14,(Datos!J14+Datos!Z14-(Datos!T14+Datos!AH14))/(Datos!T14+Datos!AH14))," - ")</f>
        <v>200.125</v>
      </c>
      <c r="D14" s="1152">
        <f>IF(ISNUMBER(
   IF(J_V="SI",(Datos!K14-Datos!U14)/Datos!U14,(Datos!K14+Datos!AA14-(Datos!U14+Datos!AI14))/(Datos!U14+Datos!AI14))
     ),IF(J_V="SI",(Datos!K14-Datos!U14)/Datos!U14,(Datos!K14+Datos!AA14-(Datos!U14+Datos!AI14))/(Datos!U14+Datos!AI14))," - ")</f>
        <v>133.77777777777777</v>
      </c>
      <c r="E14" s="1152">
        <f>IF(ISNUMBER(
   IF(J_V="SI",(Datos!L14-Datos!V14)/Datos!V14,(Datos!L14+Datos!AB14-(Datos!V14+Datos!AJ14))/(Datos!V14+Datos!AJ14))
     ),IF(J_V="SI",(Datos!L14-Datos!V14)/Datos!V14,(Datos!L14+Datos!AB14-(Datos!V14+Datos!AJ14))/(Datos!V14+Datos!AJ14))," - ")</f>
        <v>51.706521739130437</v>
      </c>
      <c r="F14" s="1153">
        <f>IF(ISNUMBER((Datos!M14-Datos!W14)/Datos!W14),(Datos!M14-Datos!W14)/Datos!W14," - ")</f>
        <v>142.66666666666666</v>
      </c>
      <c r="G14" s="1154">
        <f>IF(ISNUMBER((Datos!N14-Datos!X14)/Datos!X14),(Datos!N14-Datos!X14)/Datos!X14," - ")</f>
        <v>222.5</v>
      </c>
      <c r="H14" s="1154">
        <f>IF(ISNUMBER(((NºAsuntos!G14/NºAsuntos!E14)-Datos!BD14)/Datos!BD14),((NºAsuntos!G14/NºAsuntos!E14)-Datos!BD14)/Datos!BD14," - ")</f>
        <v>-0.32988053311235416</v>
      </c>
      <c r="I14" s="1154">
        <f>IF(ISNUMBER(((NºAsuntos!I14/NºAsuntos!G14)-Datos!BE14)/Datos!BE14),((NºAsuntos!I14/NºAsuntos!G14)-Datos!BE14)/Datos!BE14," - ")</f>
        <v>-0.60893759632961753</v>
      </c>
      <c r="J14" s="1154">
        <f>IF(ISNUMBER((('Resol  Asuntos'!D14/NºAsuntos!G14)-Datos!BF14)/Datos!BF14),(('Resol  Asuntos'!D14/NºAsuntos!G14)-Datos!BF14)/Datos!BF14," - ")</f>
        <v>6.5952184666117075E-2</v>
      </c>
      <c r="K14" s="1154">
        <f>IF(ISNUMBER((((NºAsuntos!C14+NºAsuntos!E14)/NºAsuntos!G14)-Datos!BG14)/Datos!BG14),(((NºAsuntos!C14+NºAsuntos!E14)/NºAsuntos!G14)-Datos!BG14)/Datos!BG14," - ")</f>
        <v>-0.55467583032004764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0.45652173913043476</v>
      </c>
      <c r="C18" s="515">
        <f>IF(ISNUMBER(
   IF(D_I="SI",(Datos!J18-Datos!T18)/Datos!T18,(Datos!J18+Datos!AD18-(Datos!T18+Datos!AL18))/(Datos!T18+Datos!AL18))
     ),IF(D_I="SI",(Datos!J18-Datos!T18)/Datos!T18,(Datos!J18+Datos!AD18-(Datos!T18+Datos!AL18))/(Datos!T18+Datos!AL18))," - ")</f>
        <v>-3.9473684210526314E-2</v>
      </c>
      <c r="D18" s="515">
        <f>IF(ISNUMBER(
   IF(D_I="SI",(Datos!K18-Datos!U18)/Datos!U18,(Datos!K18+Datos!AE18-(Datos!U18+Datos!AM18))/(Datos!U18+Datos!AM18))
     ),IF(D_I="SI",(Datos!K18-Datos!U18)/Datos!U18,(Datos!K18+Datos!AE18-(Datos!U18+Datos!AM18))/(Datos!U18+Datos!AM18))," - ")</f>
        <v>-0.23809523809523808</v>
      </c>
      <c r="E18" s="515">
        <f>IF(ISNUMBER(
   IF(D_I="SI",(Datos!L18-Datos!V18)/Datos!V18,(Datos!L18+Datos!AF18-(Datos!V18+Datos!AN18))/(Datos!V18+Datos!AN18))
     ),IF(D_I="SI",(Datos!L18-Datos!V18)/Datos!V18,(Datos!L18+Datos!AF18-(Datos!V18+Datos!AN18))/(Datos!V18+Datos!AN18))," - ")</f>
        <v>0.98039215686274506</v>
      </c>
      <c r="F18" s="515">
        <f>IF(ISNUMBER((Datos!M18-Datos!W18)/Datos!W18),(Datos!M18-Datos!W18)/Datos!W18," - ")</f>
        <v>0</v>
      </c>
      <c r="G18" s="516">
        <f>IF(ISNUMBER((Datos!N18-Datos!X18)/Datos!X18),(Datos!N18-Datos!X18)/Datos!X18," - ")</f>
        <v>0.36363636363636365</v>
      </c>
      <c r="H18" s="514">
        <f>IF(ISNUMBER(((NºAsuntos!G18/NºAsuntos!E18)-Datos!BD18)/Datos!BD18),((NºAsuntos!G18/NºAsuntos!E18)-Datos!BD18)/Datos!BD18," - ")</f>
        <v>-0.20678408349641228</v>
      </c>
      <c r="I18" s="515">
        <f>IF(ISNUMBER(((NºAsuntos!I18/NºAsuntos!G18)-Datos!BE18)/Datos!BE18),((NºAsuntos!I18/NºAsuntos!G18)-Datos!BE18)/Datos!BE18," - ")</f>
        <v>1.5992647058823528</v>
      </c>
      <c r="J18" s="521">
        <f>IF(ISNUMBER((('Resol  Asuntos'!D18/NºAsuntos!G18)-Datos!BF18)/Datos!BF18),(('Resol  Asuntos'!D18/NºAsuntos!G18)-Datos!BF18)/Datos!BF18," - ")</f>
        <v>0.31249999999999989</v>
      </c>
      <c r="K18" s="522">
        <f>IF(ISNUMBER((((NºAsuntos!C18+NºAsuntos!E18)/NºAsuntos!G18)-Datos!BG18)/Datos!BG18),(((NºAsuntos!C18+NºAsuntos!E18)/NºAsuntos!G18)-Datos!BG18)/Datos!BG18," - ")</f>
        <v>0.41193181818181818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37.782608695652172</v>
      </c>
      <c r="C23" s="1152">
        <f>IF(ISNUMBER(
   IF(Criterios!B14="SI",(Datos!J23-Datos!T23)/Datos!T23,(Datos!J23+Datos!AD23-(Datos!T23+Datos!AL23))/(Datos!T23+Datos!AL23))
     ),IF(Criterios!B14="SI",(Datos!J23-Datos!T23)/Datos!T23,(Datos!J23+Datos!AD23-(Datos!T23+Datos!AL23))/(Datos!T23+Datos!AL23))," - ")</f>
        <v>8.3618421052631575</v>
      </c>
      <c r="D23" s="1152">
        <f>IF(ISNUMBER(
   IF(Criterios!B14="SI",(Datos!K23-Datos!U23)/Datos!U23,(Datos!K23+Datos!AE23-(Datos!U23+Datos!AM23))/(Datos!U23+Datos!AM23))
     ),IF(Criterios!B14="SI",(Datos!K23-Datos!U23)/Datos!U23,(Datos!K23+Datos!AE23-(Datos!U23+Datos!AM23))/(Datos!U23+Datos!AM23))," - ")</f>
        <v>6.7482993197278915</v>
      </c>
      <c r="E23" s="1152">
        <f>IF(ISNUMBER(
   IF(Criterios!B14="SI",(Datos!L23-Datos!V23)/Datos!V23,(Datos!L23+Datos!AF23-(Datos!V23+Datos!AN23))/(Datos!V23+Datos!AN23))
     ),IF(Criterios!B14="SI",(Datos!L23-Datos!V23)/Datos!V23,(Datos!L23+Datos!AF23-(Datos!V23+Datos!AN23))/(Datos!V23+Datos!AN23))," - ")</f>
        <v>39.549019607843135</v>
      </c>
      <c r="F23" s="1153">
        <f>IF(ISNUMBER((Datos!M23-Datos!W23)/Datos!W23),(Datos!M23-Datos!W23)/Datos!W23," - ")</f>
        <v>7.6521739130434785</v>
      </c>
      <c r="G23" s="1154">
        <f>IF(ISNUMBER((Datos!N23-Datos!X23)/Datos!X23),(Datos!N23-Datos!X23)/Datos!X23," - ")</f>
        <v>12.2</v>
      </c>
      <c r="H23" s="1154">
        <f>IF(ISNUMBER(((NºAsuntos!G23/NºAsuntos!E23)-Datos!BD23)/Datos!BD23),((NºAsuntos!G23/NºAsuntos!E23)-Datos!BD23)/Datos!BD23," - ")</f>
        <v>-0.17235312958633908</v>
      </c>
      <c r="I23" s="1154">
        <f>IF(ISNUMBER(((NºAsuntos!I23/NºAsuntos!G23)-Datos!BE23)/Datos!BE23),((NºAsuntos!I23/NºAsuntos!G23)-Datos!BE23)/Datos!BE23," - ")</f>
        <v>4.2332799669472712</v>
      </c>
      <c r="J23" s="1154">
        <f>IF(ISNUMBER((('Resol  Asuntos'!D23/NºAsuntos!G23)-Datos!BF23)/Datos!BF23),(('Resol  Asuntos'!D23/NºAsuntos!G23)-Datos!BF23)/Datos!BF23," - ")</f>
        <v>0.11665457876856122</v>
      </c>
      <c r="K23" s="1154">
        <f>IF(ISNUMBER((((NºAsuntos!C23+NºAsuntos!E23)/NºAsuntos!G23)-Datos!BG23)/Datos!BG23),(((NºAsuntos!C23+NºAsuntos!E23)/NºAsuntos!G23)-Datos!BG23)/Datos!BG23," - ")</f>
        <v>1.0903902945167212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43.870503597122301</v>
      </c>
      <c r="C31" s="1092">
        <f>IF(ISNUMBER(
   IF(J_V="SI",(Datos!J31-Datos!T31)/Datos!T31,(Datos!J31+Datos!Z31-(Datos!T31+Datos!AH31))/(Datos!T31+Datos!AH31))
     ),IF(J_V="SI",(Datos!J31-Datos!T31)/Datos!T31,(Datos!J31+Datos!Z31-(Datos!T31+Datos!AH31))/(Datos!T31+Datos!AH31))," - ")</f>
        <v>17.95</v>
      </c>
      <c r="D31" s="1092">
        <f>IF(ISNUMBER(
   IF(J_V="SI",(Datos!K31-Datos!U31)/Datos!U31,(Datos!K31+Datos!AA31-(Datos!U31+Datos!AI31))/(Datos!U31+Datos!AI31))
     ),IF(J_V="SI",(Datos!K31-Datos!U31)/Datos!U31,(Datos!K31+Datos!AA31-(Datos!U31+Datos!AI31))/(Datos!U31+Datos!AI31))," - ")</f>
        <v>14.076923076923077</v>
      </c>
      <c r="E31" s="1092">
        <f>IF(ISNUMBER(
   IF(J_V="SI",(Datos!L31-Datos!V31)/Datos!V31,(Datos!L31+Datos!AB31-(Datos!V31+Datos!AJ31))/(Datos!V31+Datos!AJ31))
     ),IF(J_V="SI",(Datos!L31-Datos!V31)/Datos!V31,(Datos!L31+Datos!AB31-(Datos!V31+Datos!AJ31))/(Datos!V31+Datos!AJ31))," - ")</f>
        <v>47.370629370629374</v>
      </c>
      <c r="F31" s="1093">
        <f>IF(ISNUMBER((Datos!M31-Datos!W31)/Datos!W31),(Datos!M31-Datos!W31)/Datos!W31," - ")</f>
        <v>23.23076923076923</v>
      </c>
      <c r="G31" s="1094">
        <f>IF(ISNUMBER((Datos!N31-Datos!X31)/Datos!X31),(Datos!N31-Datos!X31)/Datos!X31," - ")</f>
        <v>19.578947368421051</v>
      </c>
      <c r="H31" s="1095">
        <f>IF(ISNUMBER((Tasas!B31-Datos!BD31)/Datos!BD31),(Tasas!B31-Datos!BD31)/Datos!BD31," - ")</f>
        <v>-0.20438400649482447</v>
      </c>
      <c r="I31" s="1096">
        <f>IF(ISNUMBER((Tasas!C31-Datos!BE31)/Datos!BE31),(Tasas!C31-Datos!BE31)/Datos!BE31," - ")</f>
        <v>2.2082560296846014</v>
      </c>
      <c r="J31" s="1097">
        <f>IF(ISNUMBER((Tasas!D31-Datos!BF31)/Datos!BF31),(Tasas!D31-Datos!BF31)/Datos!BF31," - ")</f>
        <v>0.60714285714285721</v>
      </c>
      <c r="K31" s="1097">
        <f>IF(ISNUMBER((Tasas!E31-Datos!BG31)/Datos!BG31),(Tasas!E31-Datos!BG31)/Datos!BG31," - ")</f>
        <v>1.0561224489795917</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iBlWpwVyHcZxMSPJXj52IsQZh1970VcYq9eMbEy/MINUoumSeWoiYICd47rVp0EPEiC3qyAdMNFHfB3wP+ibZQ==" saltValue="ZiOm1K/BRODAb/CwqDofk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TOLEDO</v>
      </c>
    </row>
    <row r="4" spans="1:7" ht="11.25" customHeight="1" thickBot="1">
      <c r="B4" s="439" t="str">
        <f>Criterios!A11 &amp;"  "&amp;Criterios!B11</f>
        <v>Resumenes por Partidos Judiciales  TOLEDO</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0.75545851528384278</v>
      </c>
      <c r="C9" s="498">
        <f>IF(ISNUMBER(NºAsuntos!I9/NºAsuntos!G9),NºAsuntos!I9/NºAsuntos!G9," - ")</f>
        <v>3.9157720891824939</v>
      </c>
      <c r="D9" s="499">
        <f>IF(ISNUMBER('Resol  Asuntos'!D9/NºAsuntos!G9),'Resol  Asuntos'!D9/NºAsuntos!G9," - ")</f>
        <v>0.35590421139554085</v>
      </c>
      <c r="E9" s="500">
        <f>IF(ISNUMBER((NºAsuntos!C9+NºAsuntos!E9)/NºAsuntos!G9),(NºAsuntos!C9+NºAsuntos!E9)/NºAsuntos!G9," - ")</f>
        <v>4.9157720891824939</v>
      </c>
      <c r="G9" s="523"/>
    </row>
    <row r="10" spans="1:7">
      <c r="A10" s="450" t="str">
        <f>Datos!A10</f>
        <v>Jdos. Violencia contra la mujer</v>
      </c>
      <c r="B10" s="497">
        <f>IF(ISNUMBER(NºAsuntos!G10/NºAsuntos!E10),NºAsuntos!G10/NºAsuntos!E10," - ")</f>
        <v>0.33333333333333331</v>
      </c>
      <c r="C10" s="498">
        <f>IF(ISNUMBER(NºAsuntos!I10/NºAsuntos!G10),NºAsuntos!I10/NºAsuntos!G10," - ")</f>
        <v>53.5</v>
      </c>
      <c r="D10" s="499">
        <f>IF(ISNUMBER('Resol  Asuntos'!D10/NºAsuntos!G10),'Resol  Asuntos'!D10/NºAsuntos!G10," - ")</f>
        <v>0</v>
      </c>
      <c r="E10" s="500">
        <f>IF(ISNUMBER((NºAsuntos!C10+NºAsuntos!E10)/NºAsuntos!G10),(NºAsuntos!C10+NºAsuntos!E10)/NºAsuntos!G10," - ")</f>
        <v>54.5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0.75388440024860159</v>
      </c>
      <c r="C14" s="1156">
        <f>IF(ISNUMBER(NºAsuntos!I14/NºAsuntos!G14),NºAsuntos!I14/NºAsuntos!G14," - ")</f>
        <v>3.9975267930750205</v>
      </c>
      <c r="D14" s="1157">
        <f>IF(ISNUMBER('Resol  Asuntos'!D14/NºAsuntos!G14),'Resol  Asuntos'!D14/NºAsuntos!G14," - ")</f>
        <v>0.35531739488870567</v>
      </c>
      <c r="E14" s="1158">
        <f>IF(ISNUMBER((NºAsuntos!C14+NºAsuntos!E14)/NºAsuntos!G14),(NºAsuntos!C14+NºAsuntos!E14)/NºAsuntos!G14," - ")</f>
        <v>4.9975267930750205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0.80422866092404077</v>
      </c>
      <c r="C16" s="498">
        <f>IF(ISNUMBER(NºAsuntos!I16/NºAsuntos!G16),NºAsuntos!I16/NºAsuntos!G16," - ")</f>
        <v>1.9152872444011684</v>
      </c>
      <c r="D16" s="499">
        <f>IF(ISNUMBER('Resol  Asuntos'!D16/NºAsuntos!G16),'Resol  Asuntos'!D16/NºAsuntos!G16," - ")</f>
        <v>0.17137293086660174</v>
      </c>
      <c r="E16" s="500">
        <f>IF(ISNUMBER((NºAsuntos!C16+NºAsuntos!E16)/NºAsuntos!G16),(NºAsuntos!C16+NºAsuntos!E16)/NºAsuntos!G16," - ")</f>
        <v>2.9152872444011684</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0.76712328767123283</v>
      </c>
      <c r="C18" s="498">
        <f>IF(ISNUMBER(NºAsuntos!I18/NºAsuntos!G18),NºAsuntos!I18/NºAsuntos!G18," - ")</f>
        <v>0.9017857142857143</v>
      </c>
      <c r="D18" s="499">
        <f>IF(ISNUMBER('Resol  Asuntos'!D18/NºAsuntos!G18),'Resol  Asuntos'!D18/NºAsuntos!G18," - ")</f>
        <v>0.20535714285714285</v>
      </c>
      <c r="E18" s="500">
        <f>IF(ISNUMBER((NºAsuntos!C18+NºAsuntos!E18)/NºAsuntos!G18),(NºAsuntos!C18+NºAsuntos!E18)/NºAsuntos!G18," - ")</f>
        <v>1.9017857142857142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0.80042164441321151</v>
      </c>
      <c r="C23" s="1156">
        <f>IF(ISNUMBER(NºAsuntos!I23/NºAsuntos!G23),NºAsuntos!I23/NºAsuntos!G23," - ")</f>
        <v>1.8156277436347674</v>
      </c>
      <c r="D23" s="1159">
        <f>IF(ISNUMBER('Resol  Asuntos'!D23/NºAsuntos!G23),'Resol  Asuntos'!D23/NºAsuntos!G23," - ")</f>
        <v>0.17471466198419666</v>
      </c>
      <c r="E23" s="1158">
        <f>IF(ISNUMBER((NºAsuntos!C23+NºAsuntos!E23)/NºAsuntos!G23),(NºAsuntos!C23+NºAsuntos!E23)/NºAsuntos!G23," - ")</f>
        <v>2.8156277436347672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0.77572559366754612</v>
      </c>
      <c r="C31" s="1099">
        <f>IF(ISNUMBER(NºAsuntos!I31/NºAsuntos!G31),NºAsuntos!I31/NºAsuntos!G31," - ")</f>
        <v>2.9409013605442178</v>
      </c>
      <c r="D31" s="1100">
        <f>IF(ISNUMBER('Resol  Asuntos'!D31/NºAsuntos!G31),'Resol  Asuntos'!D31/NºAsuntos!G31," - ")</f>
        <v>0.26785714285714285</v>
      </c>
      <c r="E31" s="1101">
        <f>IF(ISNUMBER((NºAsuntos!C31+NºAsuntos!E31)/NºAsuntos!G31),(NºAsuntos!C31+NºAsuntos!E31)/NºAsuntos!G31," - ")</f>
        <v>3.9409013605442178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2KqW3aKEwm/yad/VfbF8CWO3FB0ZquqpjYHJiChfPJcHhtpXa06dUjzBXdBoczWOaiiv/RrqimYbVfLpKBCFhQ==" saltValue="EXC7Nzwzu3PY9d/Qv86CT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TOLEDO</v>
      </c>
      <c r="N2" s="368" t="str">
        <f>Criterios!A11 &amp;"  "&amp;Criterios!B11</f>
        <v>Resumenes por Partidos Judiciales  TOLEDO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5</v>
      </c>
      <c r="B9" s="190" t="s">
        <v>321</v>
      </c>
      <c r="C9" s="173" t="str">
        <f>Datos!A9</f>
        <v xml:space="preserve">Jdos. 1ª Instancia   </v>
      </c>
      <c r="D9" s="173"/>
      <c r="E9" s="1402">
        <f>IF(ISNUMBER(Datos!AQ9),Datos!AQ9," - ")</f>
        <v>5</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397</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151</v>
      </c>
      <c r="Y9" s="374">
        <f>SUM(W9:X9)</f>
        <v>151</v>
      </c>
      <c r="Z9" s="375" t="str">
        <f>IF(ISNUMBER(Datos!CC9),Datos!CC9," - ")</f>
        <v xml:space="preserve"> - </v>
      </c>
      <c r="AA9" s="372" t="str">
        <f>IF(ISNUMBER(IF(J_V="SI",Datos!L9,Datos!L9+Datos!AB9)-IF(Monitorios="SI",Datos!CD9,0)),
                          IF(J_V="SI",Datos!L9,Datos!L9+Datos!AB9)-IF(Monitorios="SI",Datos!CD9,0),
                          " - ")</f>
        <v xml:space="preserve"> - </v>
      </c>
      <c r="AB9" s="374">
        <f>IF(ISNUMBER(Datos!R9),Datos!R9," - ")</f>
        <v>5829</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431</v>
      </c>
      <c r="AJ9" s="243" t="str">
        <f>IF(ISNUMBER(Datos!BW9),Datos!BW9," - ")</f>
        <v xml:space="preserve"> - </v>
      </c>
      <c r="AK9" s="242" t="str">
        <f>IF(ISNUMBER(Datos!BX9),Datos!BX9," - ")</f>
        <v xml:space="preserve"> - </v>
      </c>
      <c r="AL9" s="266">
        <f>IF(ISNUMBER(NºAsuntos!G9/NºAsuntos!E9),NºAsuntos!G9/NºAsuntos!E9," - ")</f>
        <v>0.75545851528384278</v>
      </c>
      <c r="AM9" s="284">
        <f>IF(ISNUMBER(((NºAsuntos!I9/NºAsuntos!G9)*11)/factor_trimestre),((NºAsuntos!I9/NºAsuntos!G9)*11)/factor_trimestre," - ")</f>
        <v>7.8315441783649877</v>
      </c>
      <c r="AN9" s="267">
        <f>IF(ISNUMBER('Resol  Asuntos'!D9/NºAsuntos!G9),'Resol  Asuntos'!D9/NºAsuntos!G9," - ")</f>
        <v>0.35590421139554085</v>
      </c>
      <c r="AO9" s="268">
        <f>IF(ISNUMBER((NºAsuntos!C9+NºAsuntos!E9)/NºAsuntos!G9),(NºAsuntos!C9+NºAsuntos!E9)/NºAsuntos!G9," - ")</f>
        <v>4.9157720891824939</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103</v>
      </c>
      <c r="G10" s="373">
        <f>IF(ISNUMBER(Datos!I10),Datos!I10," - ")</f>
        <v>103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107</v>
      </c>
      <c r="AB10" s="374">
        <f>IF(ISNUMBER(Datos!R10),Datos!R10," - ")</f>
        <v>23</v>
      </c>
      <c r="AC10" s="374">
        <f t="shared" ref="AC10:AC13" si="1">IF(ISNUMBER(AA10+AB10),AA10+AB10," - ")</f>
        <v>130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0.33333333333333331</v>
      </c>
      <c r="AM10" s="284">
        <f>IF(ISNUMBER(((NºAsuntos!I10/NºAsuntos!G10)*11)/factor_trimestre),((NºAsuntos!I10/NºAsuntos!G10)*11)/factor_trimestre," - ")</f>
        <v>107</v>
      </c>
      <c r="AN10" s="267">
        <f>IF(ISNUMBER('Resol  Asuntos'!D10/NºAsuntos!G10),'Resol  Asuntos'!D10/NºAsuntos!G10," - ")</f>
        <v>0</v>
      </c>
      <c r="AO10" s="268">
        <f>IF(ISNUMBER((NºAsuntos!C10+NºAsuntos!E10)/NºAsuntos!G10),(NºAsuntos!C10+NºAsuntos!E10)/NºAsuntos!G10," - ")</f>
        <v>54.5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103</v>
      </c>
      <c r="G14" s="1163">
        <f t="shared" si="5"/>
        <v>103</v>
      </c>
      <c r="H14" s="1162">
        <f t="shared" si="5"/>
        <v>0</v>
      </c>
      <c r="I14" s="1164">
        <f t="shared" si="5"/>
        <v>0</v>
      </c>
      <c r="J14" s="1164">
        <f t="shared" si="5"/>
        <v>0</v>
      </c>
      <c r="K14" s="1164">
        <f t="shared" si="5"/>
        <v>0</v>
      </c>
      <c r="L14" s="1164">
        <f t="shared" si="5"/>
        <v>398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151</v>
      </c>
      <c r="Y14" s="1165">
        <f t="shared" si="6"/>
        <v>153</v>
      </c>
      <c r="Z14" s="1165">
        <f t="shared" si="6"/>
        <v>0</v>
      </c>
      <c r="AA14" s="1165">
        <f t="shared" si="6"/>
        <v>107</v>
      </c>
      <c r="AB14" s="1165">
        <f t="shared" si="6"/>
        <v>5852</v>
      </c>
      <c r="AC14" s="1165">
        <f t="shared" si="6"/>
        <v>130</v>
      </c>
      <c r="AD14" s="1165">
        <f t="shared" si="6"/>
        <v>0</v>
      </c>
      <c r="AE14" s="1169">
        <f t="shared" si="6"/>
        <v>0</v>
      </c>
      <c r="AF14" s="1162">
        <f t="shared" si="6"/>
        <v>0</v>
      </c>
      <c r="AG14" s="1170">
        <f t="shared" si="6"/>
        <v>0</v>
      </c>
      <c r="AH14" s="1167">
        <f t="shared" si="6"/>
        <v>0</v>
      </c>
      <c r="AI14" s="1162">
        <f t="shared" si="6"/>
        <v>431</v>
      </c>
      <c r="AJ14" s="1164">
        <f t="shared" si="6"/>
        <v>0</v>
      </c>
      <c r="AK14" s="1167">
        <f>SUBTOTAL(9,AK9:AK13)</f>
        <v>0</v>
      </c>
      <c r="AL14" s="1171">
        <f>IF(ISNUMBER(NºAsuntos!G14/NºAsuntos!E14),NºAsuntos!G14/NºAsuntos!E14," - ")</f>
        <v>0.75388440024860159</v>
      </c>
      <c r="AM14" s="1171">
        <f>IF(ISNUMBER(((NºAsuntos!I14/NºAsuntos!G14)*11)/factor_trimestre),((NºAsuntos!I14/NºAsuntos!G14)*11)/factor_trimestre," - ")</f>
        <v>7.9950535861500409</v>
      </c>
      <c r="AN14" s="1172">
        <f>IF(ISNUMBER('Resol  Asuntos'!D14/NºAsuntos!G14),'Resol  Asuntos'!D14/NºAsuntos!G14," - ")</f>
        <v>0.35531739488870567</v>
      </c>
      <c r="AO14" s="1173">
        <f>IF(ISNUMBER((NºAsuntos!C14+NºAsuntos!E14)/NºAsuntos!G14),(NºAsuntos!C14+NºAsuntos!E14)/NºAsuntos!G14," - ")</f>
        <v>4.9975267930750205</v>
      </c>
      <c r="AP14" s="1174" t="str">
        <f t="shared" si="2"/>
        <v xml:space="preserve"> - </v>
      </c>
      <c r="AQ14" s="1174">
        <f>IF(ISNUMBER((H14-W14+K14)/(F14)),(H14-W14+K14)/(F14)," - ")</f>
        <v>-1.9417475728155338E-2</v>
      </c>
      <c r="AR14" s="1175">
        <f>IF(ISNUMBER((Datos!P14-Datos!Q14)/(Datos!R14-Datos!P14+Datos!Q14)),(Datos!P14-Datos!Q14)/(Datos!R14-Datos!P14+Datos!Q14)," - ")</f>
        <v>4.4067796610169491E-2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3</v>
      </c>
      <c r="B16" s="300" t="s">
        <v>511</v>
      </c>
      <c r="C16" s="173" t="str">
        <f>Datos!A16</f>
        <v xml:space="preserve">Jdos. Instrucción                               </v>
      </c>
      <c r="D16" s="173"/>
      <c r="E16" s="1402">
        <f>IF(ISNUMBER(Datos!AQ16),Datos!AQ16," - ")</f>
        <v>3</v>
      </c>
      <c r="F16" s="239">
        <f>IF(ISNUMBER(AA16+W16-Datos!J16-K16),AA16+W16-Datos!J16-K16," - ")</f>
        <v>1717</v>
      </c>
      <c r="G16" s="373">
        <f>IF(ISNUMBER(IF(D_I="SI",Datos!I16,Datos!I16+Datos!AC16)),IF(D_I="SI",Datos!I16,Datos!I16+Datos!AC16)," - ")</f>
        <v>1717</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23</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1027</v>
      </c>
      <c r="X16" s="240">
        <f>IF(ISNUMBER(Datos!Q16),Datos!Q16," - ")</f>
        <v>4</v>
      </c>
      <c r="Y16" s="374">
        <f>SUM(W16)</f>
        <v>1027</v>
      </c>
      <c r="Z16" s="375" t="str">
        <f>IF(ISNUMBER(Datos!CC16),Datos!CC16," - ")</f>
        <v xml:space="preserve"> - </v>
      </c>
      <c r="AA16" s="372">
        <f>IF(ISNUMBER(IF(D_I="SI",Datos!L16,Datos!L16+Datos!AF16)),IF(D_I="SI",Datos!L16,Datos!L16+Datos!AF16)," - ")</f>
        <v>1967</v>
      </c>
      <c r="AB16" s="374">
        <f>IF(ISNUMBER(Datos!R16),Datos!R16," - ")</f>
        <v>107</v>
      </c>
      <c r="AC16" s="374">
        <f t="shared" ref="AC16:AC22" si="8">IF(ISNUMBER(AA16+AB16),AA16+AB16," - ")</f>
        <v>2074</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176</v>
      </c>
      <c r="AJ16" s="245" t="str">
        <f>IF(ISNUMBER(Datos!BW16),Datos!BW16," - ")</f>
        <v xml:space="preserve"> - </v>
      </c>
      <c r="AK16" s="246" t="str">
        <f>IF(ISNUMBER(Datos!BX16),Datos!BX16," - ")</f>
        <v xml:space="preserve"> - </v>
      </c>
      <c r="AL16" s="266">
        <f>IF(ISNUMBER(NºAsuntos!G16/NºAsuntos!E16),NºAsuntos!G16/NºAsuntos!E16," - ")</f>
        <v>0.80422866092404077</v>
      </c>
      <c r="AM16" s="284">
        <f>IF(ISNUMBER(((NºAsuntos!I16/NºAsuntos!G16)*11)/factor_trimestre),((NºAsuntos!I16/NºAsuntos!G16)*11)/factor_trimestre," - ")</f>
        <v>3.8305744888023368</v>
      </c>
      <c r="AN16" s="267">
        <f>IF(ISNUMBER('Resol  Asuntos'!D16/NºAsuntos!G16),'Resol  Asuntos'!D16/NºAsuntos!G16," - ")</f>
        <v>0.17137293086660174</v>
      </c>
      <c r="AO16" s="268">
        <f>IF(ISNUMBER((NºAsuntos!C16+NºAsuntos!E16)/NºAsuntos!G16),(NºAsuntos!C16+NºAsuntos!E16)/NºAsuntos!G16," - ")</f>
        <v>2.9152872444011684</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67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112</v>
      </c>
      <c r="X18" s="240">
        <f>IF(ISNUMBER(Datos!Q18),Datos!Q18," - ")</f>
        <v>0</v>
      </c>
      <c r="Y18" s="374">
        <f t="shared" si="9"/>
        <v>112</v>
      </c>
      <c r="Z18" s="375" t="str">
        <f>IF(ISNUMBER(Datos!CC18),Datos!CC18," - ")</f>
        <v xml:space="preserve"> - </v>
      </c>
      <c r="AA18" s="372">
        <f>IF(ISNUMBER(Datos!L18),Datos!L18,"-")</f>
        <v>101</v>
      </c>
      <c r="AB18" s="374">
        <f>IF(ISNUMBER(Datos!R18),Datos!R18," - ")</f>
        <v>6</v>
      </c>
      <c r="AC18" s="374">
        <f t="shared" si="8"/>
        <v>107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23</v>
      </c>
      <c r="AJ18" s="245" t="str">
        <f>IF(ISNUMBER(Datos!BW18),Datos!BW18," - ")</f>
        <v xml:space="preserve"> - </v>
      </c>
      <c r="AK18" s="246" t="str">
        <f>IF(ISNUMBER(Datos!BX18),Datos!BX18," - ")</f>
        <v xml:space="preserve"> - </v>
      </c>
      <c r="AL18" s="266">
        <f>IF(ISNUMBER(NºAsuntos!G18/NºAsuntos!E18),NºAsuntos!G18/NºAsuntos!E18," - ")</f>
        <v>0.76712328767123283</v>
      </c>
      <c r="AM18" s="284">
        <f>IF(ISNUMBER(((NºAsuntos!I18/NºAsuntos!G18)*11)/factor_trimestre),((NºAsuntos!I18/NºAsuntos!G18)*11)/factor_trimestre," - ")</f>
        <v>1.8035714285714286</v>
      </c>
      <c r="AN18" s="267">
        <f>IF(ISNUMBER('Resol  Asuntos'!D18/NºAsuntos!G18),'Resol  Asuntos'!D18/NºAsuntos!G18," - ")</f>
        <v>0.20535714285714285</v>
      </c>
      <c r="AO18" s="268">
        <f>IF(ISNUMBER((NºAsuntos!C18+NºAsuntos!E18)/NºAsuntos!G18),(NºAsuntos!C18+NºAsuntos!E18)/NºAsuntos!G18," - ")</f>
        <v>1.9017857142857142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1717</v>
      </c>
      <c r="G23" s="1163">
        <f>SUBTOTAL(9,G16:G22)</f>
        <v>1784</v>
      </c>
      <c r="H23" s="1162">
        <f t="shared" ref="H23:O23" si="13">SUBTOTAL(9,H15:H22)</f>
        <v>0</v>
      </c>
      <c r="I23" s="1164">
        <f t="shared" si="13"/>
        <v>0</v>
      </c>
      <c r="J23" s="1164">
        <f t="shared" si="13"/>
        <v>0</v>
      </c>
      <c r="K23" s="1164">
        <f t="shared" si="13"/>
        <v>0</v>
      </c>
      <c r="L23" s="1164">
        <f t="shared" si="13"/>
        <v>25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1139</v>
      </c>
      <c r="X23" s="1164">
        <f t="shared" si="14"/>
        <v>4</v>
      </c>
      <c r="Y23" s="1165">
        <f t="shared" si="14"/>
        <v>1139</v>
      </c>
      <c r="Z23" s="1165">
        <f t="shared" si="14"/>
        <v>0</v>
      </c>
      <c r="AA23" s="1165">
        <f t="shared" si="14"/>
        <v>2068</v>
      </c>
      <c r="AB23" s="1165">
        <f t="shared" si="14"/>
        <v>113</v>
      </c>
      <c r="AC23" s="1165">
        <f t="shared" si="14"/>
        <v>2181</v>
      </c>
      <c r="AD23" s="1165">
        <f t="shared" si="14"/>
        <v>0</v>
      </c>
      <c r="AE23" s="1169">
        <f t="shared" si="14"/>
        <v>0</v>
      </c>
      <c r="AF23" s="1162">
        <f t="shared" si="14"/>
        <v>0</v>
      </c>
      <c r="AG23" s="1170">
        <f t="shared" si="14"/>
        <v>0</v>
      </c>
      <c r="AH23" s="1167">
        <f t="shared" si="14"/>
        <v>0</v>
      </c>
      <c r="AI23" s="1162">
        <f t="shared" si="14"/>
        <v>199</v>
      </c>
      <c r="AJ23" s="1164">
        <f t="shared" si="14"/>
        <v>0</v>
      </c>
      <c r="AK23" s="1167">
        <f t="shared" si="14"/>
        <v>0</v>
      </c>
      <c r="AL23" s="1171">
        <f>IF(ISNUMBER(NºAsuntos!G23/NºAsuntos!E23),NºAsuntos!G23/NºAsuntos!E23," - ")</f>
        <v>0.80042164441321151</v>
      </c>
      <c r="AM23" s="1171">
        <f>IF(ISNUMBER(((NºAsuntos!I23/NºAsuntos!G23)*11)/factor_trimestre),((NºAsuntos!I23/NºAsuntos!G23)*11)/factor_trimestre," - ")</f>
        <v>3.6312554872695348</v>
      </c>
      <c r="AN23" s="1172">
        <f>IF(ISNUMBER('Resol  Asuntos'!D23/NºAsuntos!G23),'Resol  Asuntos'!D23/NºAsuntos!G23," - ")</f>
        <v>0.17471466198419666</v>
      </c>
      <c r="AO23" s="1173">
        <f>IF(ISNUMBER((NºAsuntos!C23+NºAsuntos!E23)/NºAsuntos!G23),(NºAsuntos!C23+NºAsuntos!E23)/NºAsuntos!G23," - ")</f>
        <v>2.8156277436347672</v>
      </c>
      <c r="AP23" s="1174" t="str">
        <f t="shared" si="2"/>
        <v xml:space="preserve"> - </v>
      </c>
      <c r="AQ23" s="1174">
        <f>IF(ISNUMBER((H23-W23+K23)/(F23)),(H23-W23+K23)/(F23)," - ")</f>
        <v>-0.6633663366336634</v>
      </c>
      <c r="AR23" s="1175">
        <f>IF(ISNUMBER((Datos!P23-Datos!Q23)/(Datos!R23-Datos!P23+Datos!Q23)),(Datos!P23-Datos!Q23)/(Datos!R23-Datos!P23+Datos!Q23)," - ")</f>
        <v>0.22826086956521738</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1820</v>
      </c>
      <c r="G31" s="1118">
        <f t="shared" si="20"/>
        <v>1887</v>
      </c>
      <c r="H31" s="1117">
        <f t="shared" si="20"/>
        <v>0</v>
      </c>
      <c r="I31" s="1119">
        <f t="shared" si="20"/>
        <v>0</v>
      </c>
      <c r="J31" s="1119">
        <f t="shared" si="20"/>
        <v>0</v>
      </c>
      <c r="K31" s="1180">
        <f t="shared" si="20"/>
        <v>0</v>
      </c>
      <c r="L31" s="1119">
        <f t="shared" si="20"/>
        <v>423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1141</v>
      </c>
      <c r="X31" s="1118">
        <f t="shared" si="21"/>
        <v>155</v>
      </c>
      <c r="Y31" s="1125">
        <f t="shared" si="21"/>
        <v>1292</v>
      </c>
      <c r="Z31" s="1125">
        <f t="shared" si="21"/>
        <v>0</v>
      </c>
      <c r="AA31" s="1125">
        <f t="shared" si="21"/>
        <v>2175</v>
      </c>
      <c r="AB31" s="1125">
        <f t="shared" si="21"/>
        <v>5965</v>
      </c>
      <c r="AC31" s="1125">
        <f t="shared" si="21"/>
        <v>2311</v>
      </c>
      <c r="AD31" s="1125">
        <f t="shared" si="21"/>
        <v>0</v>
      </c>
      <c r="AE31" s="1127">
        <f t="shared" si="21"/>
        <v>0</v>
      </c>
      <c r="AF31" s="1128">
        <f t="shared" si="21"/>
        <v>0</v>
      </c>
      <c r="AG31" s="1129">
        <f t="shared" si="21"/>
        <v>0</v>
      </c>
      <c r="AH31" s="1127">
        <f t="shared" si="21"/>
        <v>0</v>
      </c>
      <c r="AI31" s="1117">
        <f t="shared" si="21"/>
        <v>630</v>
      </c>
      <c r="AJ31" s="1117">
        <f t="shared" si="21"/>
        <v>0</v>
      </c>
      <c r="AK31" s="1127">
        <f t="shared" si="21"/>
        <v>0</v>
      </c>
      <c r="AL31" s="1183">
        <f>IF(ISNUMBER(NºAsuntos!G31/NºAsuntos!E31),NºAsuntos!G31/NºAsuntos!E31," - ")</f>
        <v>0.77572559366754612</v>
      </c>
      <c r="AM31" s="1184">
        <f>IF(ISNUMBER(((NºAsuntos!I31/NºAsuntos!G31)*11)/factor_trimestre),((NºAsuntos!I31/NºAsuntos!G31)*11)/factor_trimestre," - ")</f>
        <v>5.8818027210884347</v>
      </c>
      <c r="AN31" s="1184">
        <f>IF(ISNUMBER('Resol  Asuntos'!D31/NºAsuntos!G31),'Resol  Asuntos'!D31/NºAsuntos!G31," - ")</f>
        <v>0.26785714285714285</v>
      </c>
      <c r="AO31" s="1185">
        <f>IF(ISNUMBER((NºAsuntos!C31+NºAsuntos!E31)/NºAsuntos!G31),(NºAsuntos!C31+NºAsuntos!E31)/NºAsuntos!G31," - ")</f>
        <v>3.9409013605442178</v>
      </c>
      <c r="AP31" s="1186" t="str">
        <f t="shared" si="2"/>
        <v xml:space="preserve"> - </v>
      </c>
      <c r="AQ31" s="1187">
        <f>IF(OR(ISNUMBER(FIND("01",Criterios!A8,1)),ISNUMBER(FIND("02",Criterios!A8,1)),ISNUMBER(FIND("03",Criterios!A8,1)),ISNUMBER(FIND("04",Criterios!A8,1))),(I31-W31+K31)/(F31-K31),(H31-W31+K31)/(F31-K31))</f>
        <v>-0.62692307692307692</v>
      </c>
      <c r="AR31" s="1188">
        <f>IF(ISNUMBER((Datos!P31-Datos!Q31)/(Datos!R31-Datos!P31+Datos!Q31)),(Datos!P31-Datos!Q31)/(Datos!R31-Datos!P31+Datos!Q31)," - ")</f>
        <v>4.7042302966473583E-2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539.14285714285711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1.7404711333664431</v>
      </c>
      <c r="F33" s="276">
        <f>IF(ISNUMBER(STDEV(F8:F30)),STDEV(F8:F30),"-")</f>
        <v>861.29313631693753</v>
      </c>
      <c r="G33" s="277">
        <f>IF(ISNUMBER(STDEV(G8:G30)),STDEV(G8:G30),"-")</f>
        <v>828.82716907113763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519.72268246312547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186.76876459561279</v>
      </c>
      <c r="AJ33" s="276">
        <f t="shared" si="25"/>
        <v>0</v>
      </c>
      <c r="AK33" s="278">
        <f t="shared" si="25"/>
        <v>0</v>
      </c>
      <c r="AL33" s="273">
        <f t="shared" si="25"/>
        <v>0.18212219879494065</v>
      </c>
      <c r="AM33" s="274">
        <f t="shared" si="25"/>
        <v>41.706874203672911</v>
      </c>
      <c r="AN33" s="274">
        <f t="shared" si="25"/>
        <v>0.13361336829431875</v>
      </c>
      <c r="AO33" s="275">
        <f t="shared" si="25"/>
        <v>20.853437101836459</v>
      </c>
      <c r="AP33" s="317" t="str">
        <f t="shared" si="25"/>
        <v>-</v>
      </c>
      <c r="AQ33" s="318">
        <f t="shared" si="25"/>
        <v>0.45534060628363765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ZyK0GIXvy+cmHvNyTFjlMRsDcq0m8ro5lAMJFFbrjRoRHCTSkqiedk04Xo5wfuZhae7c5otO2GE0ajtDaBgOw==" saltValue="qSverkf852Ew1BZ0o9VfH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TOLEDO</v>
      </c>
      <c r="E3" s="287"/>
    </row>
    <row r="4" spans="2:20" ht="17.25" customHeight="1" thickBot="1">
      <c r="D4" s="286" t="str">
        <f>Criterios!A11 &amp;"  "&amp;Criterios!B11</f>
        <v>Resumenes por Partidos Judiciales  TOLEDO</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0.10752688172043011</v>
      </c>
      <c r="E10" s="393">
        <f>IF(ISNUMBER((Datos!J10-Datos!T10)/Datos!T10),(Datos!J10-Datos!T10)/Datos!T10," - ")</f>
        <v>-0.25</v>
      </c>
      <c r="F10" s="393">
        <f>IF(ISNUMBER((Datos!K10-Datos!U10)/Datos!U10),(Datos!K10-Datos!U10)/Datos!U10," - ")</f>
        <v>-0.77777777777777779</v>
      </c>
      <c r="G10" s="394">
        <f>IF(ISNUMBER((Datos!L10-Datos!V10)/Datos!V10),(Datos!L10-Datos!V10)/Datos!V10," - ")</f>
        <v>0.16304347826086957</v>
      </c>
      <c r="H10" s="244">
        <f>IF(ISNUMBER((Datos!M10-Datos!W10)/Datos!W10),(Datos!M10-Datos!W10)/Datos!W10," - ")</f>
        <v>-1</v>
      </c>
      <c r="I10" s="395">
        <f>IF(ISNUMBER((Tasas!C10-Datos!BE10)/Datos!BE10),(Tasas!C10-Datos!BE10)/Datos!BE10," - ")</f>
        <v>4.2336956521739131</v>
      </c>
      <c r="J10" s="394">
        <f>IF(ISNUMBER((Tasas!D10-Datos!BF10)/Datos!BF10),(Tasas!D10-Datos!BF10)/Datos!BF10," - ")</f>
        <v>-1</v>
      </c>
      <c r="K10" s="396">
        <f>IF(ISNUMBER((Tasas!E10-Datos!BG10)/Datos!BG10),(Tasas!E10-Datos!BG10)/Datos!BG10," - ")</f>
        <v>3.8564356435643568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142.66666666666666</v>
      </c>
      <c r="I14" s="402">
        <f>IF(ISNUMBER((Tasas!C14-Datos!BE14)/Datos!BE14),(Tasas!C14-Datos!BE14)/Datos!BE14," - ")</f>
        <v>-0.60893759632961753</v>
      </c>
      <c r="J14" s="400">
        <f>IF(ISNUMBER((Tasas!D14-Datos!BF14)/Datos!BF14),(Tasas!D14-Datos!BF14)/Datos!BF14," - ")</f>
        <v>6.5952184666117075E-2</v>
      </c>
      <c r="K14" s="403">
        <f>IF(ISNUMBER((Tasas!E14-Datos!BG14)/Datos!BG14),(Tasas!E14-Datos!BG14)/Datos!BG14," - ")</f>
        <v>-0.55467583032004764</v>
      </c>
      <c r="M14" t="e">
        <f>IF(Monitorios="SI",Datos!CE14,0)</f>
        <v>#REF!</v>
      </c>
      <c r="N14" t="e">
        <f>IF(Monitorios="SI",Datos!CF14,0)</f>
        <v>#REF!</v>
      </c>
      <c r="O14" t="e">
        <f>IF(Monitorios="SI",Datos!CG14,0)</f>
        <v>#REF!</v>
      </c>
      <c r="P14" t="e">
        <f>IF(Monitorios="SI",Datos!CH14,0)</f>
        <v>#REF!</v>
      </c>
      <c r="Q14">
        <f>IF(J_V="SI",0,Datos!AG14)</f>
        <v>0</v>
      </c>
      <c r="R14">
        <f>IF(J_V="SI",0,Datos!AH14)</f>
        <v>0</v>
      </c>
      <c r="S14">
        <f>IF(J_V="SI",0,Datos!AI14)</f>
        <v>0</v>
      </c>
      <c r="T14">
        <f>IF(J_V="SI",0,Datos!AJ14)</f>
        <v>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0.45652173913043476</v>
      </c>
      <c r="E18" s="393">
        <f>IF(ISNUMBER(
   IF(D_I="SI",(Datos!J18-Datos!T18)/Datos!T18,(Datos!J18+Datos!AD18-(Datos!T18+Datos!AL18))/(Datos!T18+Datos!AL18))
     ),IF(D_I="SI",(Datos!J18-Datos!T18)/Datos!T18,(Datos!J18+Datos!AD18-(Datos!T18+Datos!AL18))/(Datos!T18+Datos!AL18))," - ")</f>
        <v>-3.9473684210526314E-2</v>
      </c>
      <c r="F18" s="393">
        <f>IF(ISNUMBER(
   IF(D_I="SI",(Datos!K18-Datos!U18)/Datos!U18,(Datos!K18+Datos!AE18-(Datos!U18+Datos!AM18))/(Datos!U18+Datos!AM18))
     ),IF(D_I="SI",(Datos!K18-Datos!U18)/Datos!U18,(Datos!K18+Datos!AE18-(Datos!U18+Datos!AM18))/(Datos!U18+Datos!AM18))," - ")</f>
        <v>-0.23809523809523808</v>
      </c>
      <c r="G18" s="394">
        <f>IF(ISNUMBER(
   IF(D_I="SI",(Datos!L18-Datos!V18)/Datos!V18,(Datos!L18+Datos!AF18-(Datos!V18+Datos!AN18))/(Datos!V18+Datos!AN18))
     ),IF(D_I="SI",(Datos!L18-Datos!V18)/Datos!V18,(Datos!L18+Datos!AF18-(Datos!V18+Datos!AN18))/(Datos!V18+Datos!AN18))," - ")</f>
        <v>0.98039215686274506</v>
      </c>
      <c r="H18" s="244">
        <f>IF(ISNUMBER((Datos!M18-Datos!W18)/Datos!W18),(Datos!M18-Datos!W18)/Datos!W18," - ")</f>
        <v>0</v>
      </c>
      <c r="I18" s="395">
        <f>IF(ISNUMBER((Tasas!C18-Datos!BE18)/Datos!BE18),(Tasas!C18-Datos!BE18)/Datos!BE18," - ")</f>
        <v>1.5992647058823528</v>
      </c>
      <c r="J18" s="394">
        <f>IF(ISNUMBER((Tasas!D18-Datos!BF18)/Datos!BF18),(Tasas!D18-Datos!BF18)/Datos!BF18," - ")</f>
        <v>0.31249999999999989</v>
      </c>
      <c r="K18" s="396">
        <f>IF(ISNUMBER((Tasas!E18-Datos!BG18)/Datos!BG18),(Tasas!E18-Datos!BG18)/Datos!BG18," - ")</f>
        <v>0.41193181818181818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37.782608695652172</v>
      </c>
      <c r="E23" s="399">
        <f>IF(ISNUMBER(
   IF(D_I="SI",(Datos!J23-Datos!T23)/Datos!T23,(Datos!J23+Datos!AD23-(Datos!T23+Datos!AL23))/(Datos!T23+Datos!AL23))
     ),IF(D_I="SI",(Datos!J23-Datos!T23)/Datos!T23,(Datos!J23+Datos!AD23-(Datos!T23+Datos!AL23))/(Datos!T23+Datos!AL23))," - ")</f>
        <v>8.3618421052631575</v>
      </c>
      <c r="F23" s="399">
        <f>IF(ISNUMBER(
   IF(D_I="SI",(Datos!K23-Datos!U23)/Datos!U23,(Datos!K23+Datos!AE23-(Datos!U23+Datos!AM23))/(Datos!U23+Datos!AM23))
     ),IF(D_I="SI",(Datos!K23-Datos!U23)/Datos!U23,(Datos!K23+Datos!AE23-(Datos!U23+Datos!AM23))/(Datos!U23+Datos!AM23))," - ")</f>
        <v>6.7482993197278915</v>
      </c>
      <c r="G23" s="400">
        <f>IF(ISNUMBER(
   IF(D_I="SI",(Datos!L23-Datos!V23)/Datos!V23,(Datos!L23+Datos!AF23-(Datos!V23+Datos!AN23))/(Datos!V23+Datos!AN23))
     ),IF(D_I="SI",(Datos!L23-Datos!V23)/Datos!V23,(Datos!L23+Datos!AF23-(Datos!V23+Datos!AN23))/(Datos!V23+Datos!AN23))," - ")</f>
        <v>39.549019607843135</v>
      </c>
      <c r="H23" s="401">
        <f>IF(ISNUMBER((Datos!M23-Datos!W23)/Datos!W23),(Datos!M23-Datos!W23)/Datos!W23," - ")</f>
        <v>7.6521739130434785</v>
      </c>
      <c r="I23" s="402">
        <f>IF(ISNUMBER((Tasas!C23-Datos!BE23)/Datos!BE23),(Tasas!C23-Datos!BE23)/Datos!BE23," - ")</f>
        <v>4.2332799669472712</v>
      </c>
      <c r="J23" s="400">
        <f>IF(ISNUMBER((Tasas!D23-Datos!BF23)/Datos!BF23),(Tasas!D23-Datos!BF23)/Datos!BF23," - ")</f>
        <v>0.11665457876856122</v>
      </c>
      <c r="K23" s="403">
        <f>IF(ISNUMBER((Tasas!E23-Datos!BG23)/Datos!BG23),(Tasas!E23-Datos!BG23)/Datos!BG23," - ")</f>
        <v>1.0903902945167212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43.870503597122301</v>
      </c>
      <c r="E31" s="409">
        <f>IF(ISNUMBER(
   IF(J_V="SI",(Datos!J31-Datos!T31)/Datos!T31,(Datos!J31+Datos!Z31-(Datos!T31+Datos!AH31))/(Datos!T31+Datos!AH31))
     ),IF(J_V="SI",(Datos!J31-Datos!T31)/Datos!T31,(Datos!J31+Datos!Z31-(Datos!T31+Datos!AH31))/(Datos!T31+Datos!AH31))," - ")</f>
        <v>17.95</v>
      </c>
      <c r="F31" s="409">
        <f>IF(ISNUMBER(
   IF(J_V="SI",(Datos!K31-Datos!U31)/Datos!U31,(Datos!K31+Datos!AA31-(Datos!U31+Datos!AI31))/(Datos!U31+Datos!AI31))
     ),IF(J_V="SI",(Datos!K31-Datos!U31)/Datos!U31,(Datos!K31+Datos!AA31-(Datos!U31+Datos!AI31))/(Datos!U31+Datos!AI31))," - ")</f>
        <v>14.076923076923077</v>
      </c>
      <c r="G31" s="410">
        <f>IF(ISNUMBER(
   IF(J_V="SI",(Datos!L31-Datos!V31)/Datos!V31,(Datos!L31+Datos!AB31-(Datos!V31+Datos!AJ31))/(Datos!V31+Datos!AJ31))
     ),IF(J_V="SI",(Datos!L31-Datos!V31)/Datos!V31,(Datos!L31+Datos!AB31-(Datos!V31+Datos!AJ31))/(Datos!V31+Datos!AJ31))," - ")</f>
        <v>47.370629370629374</v>
      </c>
      <c r="H31" s="411">
        <f>IF(ISNUMBER((Datos!M31-Datos!W31)/Datos!W31),(Datos!M31-Datos!W31)/Datos!W31," - ")</f>
        <v>23.23076923076923</v>
      </c>
      <c r="I31" s="408">
        <f>IF(ISNUMBER((Tasas!C31-Datos!BE31)/Datos!BE31),(Tasas!C31-Datos!BE31)/Datos!BE31," - ")</f>
        <v>2.2082560296846014</v>
      </c>
      <c r="J31" s="409">
        <f>IF(ISNUMBER((Tasas!D31-Datos!BF31)/Datos!BF31),(Tasas!D31-Datos!BF31)/Datos!BF31," - ")</f>
        <v>0.60714285714285721</v>
      </c>
      <c r="K31" s="410">
        <f>IF(ISNUMBER((Tasas!E31-Datos!BG31)/Datos!BG31),(Tasas!E31-Datos!BG31)/Datos!BG31," - ")</f>
        <v>1.0561224489795917</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21.651675664879349</v>
      </c>
      <c r="E33" s="303">
        <f t="shared" si="1"/>
        <v>4.9124035659760121</v>
      </c>
      <c r="F33" s="303">
        <f t="shared" si="1"/>
        <v>4.1980710379652981</v>
      </c>
      <c r="G33" s="304">
        <f t="shared" si="1"/>
        <v>22.507266226691304</v>
      </c>
      <c r="H33" s="310">
        <f t="shared" si="1"/>
        <v>70.330895310088806</v>
      </c>
      <c r="I33" s="302">
        <f t="shared" si="1"/>
        <v>2.3390273636743579</v>
      </c>
      <c r="J33" s="303">
        <f t="shared" si="1"/>
        <v>0.59213876085693307</v>
      </c>
      <c r="K33" s="304">
        <f t="shared" si="1"/>
        <v>1.8946063073111015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6xaG3uUPW0mQPKhaRUuyxzzYtUJCaLoI5aEWiqQoCruEWT/n/cklzZiKagzx2T4H+qwoM/p8om7rGVS3orL3Fw==" saltValue="Fp7Oovo4m/NSu1+pFoF2x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2023-05-06T01:06:06Z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